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nKristinSkjølsvol\Desktop\"/>
    </mc:Choice>
  </mc:AlternateContent>
  <xr:revisionPtr revIDLastSave="0" documentId="8_{54EF0B01-7BCA-41A4-B3CD-BD310358C561}" xr6:coauthVersionLast="47" xr6:coauthVersionMax="47" xr10:uidLastSave="{00000000-0000-0000-0000-000000000000}"/>
  <bookViews>
    <workbookView xWindow="560" yWindow="630" windowWidth="18640" windowHeight="11370" xr2:uid="{75349209-8B9A-4BE9-92D3-31552CE5024D}"/>
  </bookViews>
  <sheets>
    <sheet name="Resultat 24 og budsjett 25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4" i="2" l="1"/>
  <c r="N74" i="2"/>
  <c r="M74" i="2"/>
  <c r="L74" i="2"/>
  <c r="L56" i="2" l="1"/>
  <c r="C103" i="2"/>
  <c r="G98" i="2" l="1"/>
  <c r="P9" i="2" l="1"/>
  <c r="H4" i="2" l="1"/>
  <c r="D5" i="2" s="1"/>
  <c r="H73" i="2"/>
  <c r="F74" i="2" s="1"/>
  <c r="G64" i="2"/>
  <c r="P16" i="2"/>
  <c r="P17" i="2"/>
  <c r="P18" i="2"/>
  <c r="D62" i="2" s="1"/>
  <c r="F62" i="2" s="1"/>
  <c r="H62" i="2" s="1"/>
  <c r="P19" i="2"/>
  <c r="P20" i="2"/>
  <c r="P21" i="2"/>
  <c r="D50" i="2" s="1"/>
  <c r="F50" i="2" s="1"/>
  <c r="H50" i="2" s="1"/>
  <c r="P22" i="2"/>
  <c r="P23" i="2"/>
  <c r="P24" i="2"/>
  <c r="P25" i="2"/>
  <c r="D54" i="2" s="1"/>
  <c r="F54" i="2" s="1"/>
  <c r="H54" i="2" s="1"/>
  <c r="P26" i="2"/>
  <c r="P29" i="2"/>
  <c r="P27" i="2"/>
  <c r="P28" i="2"/>
  <c r="P30" i="2"/>
  <c r="P31" i="2"/>
  <c r="D63" i="2" s="1"/>
  <c r="F63" i="2" s="1"/>
  <c r="H63" i="2" s="1"/>
  <c r="P32" i="2"/>
  <c r="P33" i="2"/>
  <c r="P34" i="2"/>
  <c r="H48" i="2"/>
  <c r="G46" i="2"/>
  <c r="G14" i="2"/>
  <c r="F36" i="2"/>
  <c r="G36" i="2"/>
  <c r="H36" i="2"/>
  <c r="I36" i="2"/>
  <c r="J36" i="2"/>
  <c r="K36" i="2"/>
  <c r="L36" i="2"/>
  <c r="M36" i="2"/>
  <c r="N36" i="2"/>
  <c r="O36" i="2"/>
  <c r="D36" i="2"/>
  <c r="E36" i="2"/>
  <c r="E14" i="2"/>
  <c r="F14" i="2"/>
  <c r="H14" i="2"/>
  <c r="I14" i="2"/>
  <c r="J14" i="2"/>
  <c r="K14" i="2"/>
  <c r="L14" i="2"/>
  <c r="M14" i="2"/>
  <c r="N14" i="2"/>
  <c r="O14" i="2"/>
  <c r="D14" i="2"/>
  <c r="D39" i="2" s="1"/>
  <c r="D38" i="2" s="1"/>
  <c r="O62" i="2"/>
  <c r="N62" i="2"/>
  <c r="M62" i="2"/>
  <c r="L62" i="2"/>
  <c r="O61" i="2"/>
  <c r="N61" i="2"/>
  <c r="M61" i="2"/>
  <c r="L61" i="2"/>
  <c r="O60" i="2"/>
  <c r="N60" i="2"/>
  <c r="M60" i="2"/>
  <c r="L60" i="2"/>
  <c r="O56" i="2"/>
  <c r="N56" i="2"/>
  <c r="M56" i="2"/>
  <c r="O55" i="2"/>
  <c r="N55" i="2"/>
  <c r="M55" i="2"/>
  <c r="L55" i="2"/>
  <c r="O63" i="2"/>
  <c r="N63" i="2"/>
  <c r="L63" i="2"/>
  <c r="M63" i="2"/>
  <c r="F60" i="2"/>
  <c r="H60" i="2" s="1"/>
  <c r="F61" i="2"/>
  <c r="H61" i="2" s="1"/>
  <c r="I64" i="2"/>
  <c r="G43" i="2"/>
  <c r="G45" i="2"/>
  <c r="G44" i="2"/>
  <c r="P37" i="2"/>
  <c r="P12" i="2"/>
  <c r="P8" i="2"/>
  <c r="P11" i="2"/>
  <c r="P10" i="2"/>
  <c r="D44" i="2"/>
  <c r="F57" i="2" l="1"/>
  <c r="D57" i="2"/>
  <c r="D58" i="2"/>
  <c r="F58" i="2" s="1"/>
  <c r="H58" i="2" s="1"/>
  <c r="E5" i="2"/>
  <c r="E6" i="2"/>
  <c r="H57" i="2"/>
  <c r="G5" i="2"/>
  <c r="O48" i="2" s="1"/>
  <c r="O52" i="2" s="1"/>
  <c r="F5" i="2"/>
  <c r="G74" i="2"/>
  <c r="E74" i="2"/>
  <c r="D74" i="2"/>
  <c r="D49" i="2"/>
  <c r="D53" i="2"/>
  <c r="F53" i="2" s="1"/>
  <c r="E39" i="2"/>
  <c r="E38" i="2" s="1"/>
  <c r="F6" i="2" s="1"/>
  <c r="F38" i="2" s="1"/>
  <c r="G6" i="2" s="1"/>
  <c r="G38" i="2" s="1"/>
  <c r="D55" i="2"/>
  <c r="F55" i="2" s="1"/>
  <c r="D59" i="2"/>
  <c r="F59" i="2" s="1"/>
  <c r="D51" i="2"/>
  <c r="F51" i="2" s="1"/>
  <c r="P36" i="2"/>
  <c r="K39" i="2"/>
  <c r="D56" i="2"/>
  <c r="F56" i="2" s="1"/>
  <c r="G48" i="2"/>
  <c r="G65" i="2" s="1"/>
  <c r="D43" i="2"/>
  <c r="F43" i="2" s="1"/>
  <c r="D80" i="2" s="1"/>
  <c r="D45" i="2"/>
  <c r="F45" i="2" s="1"/>
  <c r="F80" i="2" s="1"/>
  <c r="D46" i="2"/>
  <c r="F46" i="2" s="1"/>
  <c r="G80" i="2" s="1"/>
  <c r="D47" i="2"/>
  <c r="F47" i="2" s="1"/>
  <c r="D52" i="2"/>
  <c r="F52" i="2" s="1"/>
  <c r="O39" i="2"/>
  <c r="N39" i="2"/>
  <c r="M39" i="2"/>
  <c r="I39" i="2"/>
  <c r="J39" i="2"/>
  <c r="F39" i="2"/>
  <c r="H39" i="2"/>
  <c r="G39" i="2"/>
  <c r="L39" i="2"/>
  <c r="P14" i="2"/>
  <c r="C105" i="2" s="1"/>
  <c r="F44" i="2"/>
  <c r="E80" i="2" s="1"/>
  <c r="O54" i="2" l="1"/>
  <c r="O53" i="2"/>
  <c r="H5" i="2"/>
  <c r="O51" i="2"/>
  <c r="O49" i="2"/>
  <c r="O50" i="2"/>
  <c r="F68" i="2"/>
  <c r="O57" i="2"/>
  <c r="O58" i="2"/>
  <c r="O59" i="2"/>
  <c r="O64" i="2" s="1"/>
  <c r="H6" i="2"/>
  <c r="H38" i="2" s="1"/>
  <c r="H80" i="2"/>
  <c r="H74" i="2"/>
  <c r="H59" i="2"/>
  <c r="H56" i="2"/>
  <c r="H55" i="2"/>
  <c r="H53" i="2"/>
  <c r="F49" i="2"/>
  <c r="F67" i="2" s="1"/>
  <c r="H52" i="2"/>
  <c r="H51" i="2"/>
  <c r="F48" i="2"/>
  <c r="D48" i="2"/>
  <c r="D64" i="2"/>
  <c r="C104" i="2" s="1"/>
  <c r="C106" i="2" s="1"/>
  <c r="M48" i="2"/>
  <c r="N48" i="2"/>
  <c r="P39" i="2"/>
  <c r="L48" i="2"/>
  <c r="L58" i="2" l="1"/>
  <c r="L59" i="2"/>
  <c r="L57" i="2"/>
  <c r="N57" i="2"/>
  <c r="N58" i="2"/>
  <c r="N59" i="2"/>
  <c r="M59" i="2"/>
  <c r="M58" i="2"/>
  <c r="M57" i="2"/>
  <c r="O66" i="2"/>
  <c r="O73" i="2"/>
  <c r="O75" i="2" s="1"/>
  <c r="O76" i="2" s="1"/>
  <c r="I38" i="2"/>
  <c r="I6" i="2"/>
  <c r="D75" i="2"/>
  <c r="F69" i="2"/>
  <c r="E75" i="2"/>
  <c r="F75" i="2"/>
  <c r="G75" i="2"/>
  <c r="O65" i="2"/>
  <c r="I46" i="2"/>
  <c r="G76" i="2"/>
  <c r="D76" i="2"/>
  <c r="E76" i="2"/>
  <c r="F76" i="2"/>
  <c r="F64" i="2"/>
  <c r="F65" i="2" s="1"/>
  <c r="N50" i="2"/>
  <c r="H49" i="2"/>
  <c r="H64" i="2" s="1"/>
  <c r="H65" i="2" s="1"/>
  <c r="M52" i="2"/>
  <c r="D65" i="2"/>
  <c r="M51" i="2"/>
  <c r="M53" i="2"/>
  <c r="M49" i="2"/>
  <c r="N52" i="2"/>
  <c r="N53" i="2"/>
  <c r="N51" i="2"/>
  <c r="N49" i="2"/>
  <c r="M50" i="2"/>
  <c r="M54" i="2"/>
  <c r="N54" i="2"/>
  <c r="L53" i="2"/>
  <c r="L49" i="2"/>
  <c r="L51" i="2"/>
  <c r="L54" i="2"/>
  <c r="L52" i="2"/>
  <c r="L50" i="2"/>
  <c r="J38" i="2" l="1"/>
  <c r="J6" i="2"/>
  <c r="F94" i="2"/>
  <c r="F92" i="2"/>
  <c r="G77" i="2"/>
  <c r="F77" i="2"/>
  <c r="E77" i="2"/>
  <c r="H76" i="2"/>
  <c r="D77" i="2"/>
  <c r="H75" i="2"/>
  <c r="M64" i="2"/>
  <c r="N64" i="2"/>
  <c r="L64" i="2"/>
  <c r="N66" i="2" l="1"/>
  <c r="N73" i="2"/>
  <c r="N75" i="2" s="1"/>
  <c r="N76" i="2" s="1"/>
  <c r="M66" i="2"/>
  <c r="M73" i="2"/>
  <c r="M75" i="2" s="1"/>
  <c r="M76" i="2" s="1"/>
  <c r="L66" i="2"/>
  <c r="L73" i="2"/>
  <c r="L75" i="2" s="1"/>
  <c r="L76" i="2" s="1"/>
  <c r="K38" i="2"/>
  <c r="L38" i="2" s="1"/>
  <c r="M38" i="2" s="1"/>
  <c r="N38" i="2" s="1"/>
  <c r="O38" i="2" s="1"/>
  <c r="K6" i="2"/>
  <c r="H77" i="2"/>
  <c r="E78" i="2" s="1"/>
  <c r="E79" i="2" s="1"/>
  <c r="E81" i="2" s="1"/>
  <c r="E82" i="2" s="1"/>
  <c r="N65" i="2"/>
  <c r="I45" i="2"/>
  <c r="M65" i="2"/>
  <c r="I44" i="2"/>
  <c r="L65" i="2"/>
  <c r="I43" i="2"/>
  <c r="D93" i="2" l="1"/>
  <c r="D99" i="2"/>
  <c r="D100" i="2" s="1"/>
  <c r="D101" i="2" s="1"/>
  <c r="L6" i="2"/>
  <c r="M6" i="2"/>
  <c r="N6" i="2" s="1"/>
  <c r="O6" i="2" s="1"/>
  <c r="D94" i="2"/>
  <c r="D92" i="2"/>
  <c r="E94" i="2"/>
  <c r="E92" i="2"/>
  <c r="C94" i="2"/>
  <c r="C92" i="2"/>
  <c r="D78" i="2"/>
  <c r="I48" i="2"/>
  <c r="I65" i="2" s="1"/>
  <c r="G78" i="2"/>
  <c r="G79" i="2" s="1"/>
  <c r="G81" i="2" s="1"/>
  <c r="G82" i="2" s="1"/>
  <c r="F78" i="2"/>
  <c r="F79" i="2" s="1"/>
  <c r="F81" i="2" s="1"/>
  <c r="F82" i="2" s="1"/>
  <c r="D95" i="2" l="1"/>
  <c r="E93" i="2"/>
  <c r="E95" i="2" s="1"/>
  <c r="E99" i="2"/>
  <c r="E100" i="2" s="1"/>
  <c r="E101" i="2" s="1"/>
  <c r="F93" i="2"/>
  <c r="F95" i="2" s="1"/>
  <c r="F99" i="2"/>
  <c r="F100" i="2" s="1"/>
  <c r="F101" i="2" s="1"/>
  <c r="D79" i="2"/>
  <c r="H79" i="2" s="1"/>
  <c r="H78" i="2"/>
  <c r="D81" i="2" l="1"/>
  <c r="H81" i="2" s="1"/>
  <c r="D82" i="2" l="1"/>
  <c r="C99" i="2" s="1"/>
  <c r="C100" i="2" s="1"/>
  <c r="G100" i="2" l="1"/>
  <c r="G101" i="2" s="1"/>
  <c r="C101" i="2"/>
  <c r="G99" i="2"/>
  <c r="C93" i="2"/>
  <c r="C95" i="2" s="1"/>
  <c r="H82" i="2"/>
</calcChain>
</file>

<file path=xl/sharedStrings.xml><?xml version="1.0" encoding="utf-8"?>
<sst xmlns="http://schemas.openxmlformats.org/spreadsheetml/2006/main" count="167" uniqueCount="107">
  <si>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</si>
  <si>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</si>
  <si>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</si>
  <si>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</si>
  <si>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</si>
  <si>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</si>
  <si>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</si>
  <si>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</si>
  <si>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</si>
  <si>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</si>
  <si>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</si>
  <si>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</si>
  <si>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TOTALT</t>
  </si>
  <si>
    <t>Sum inntekt</t>
  </si>
  <si>
    <t>Blomster, jord, bark</t>
  </si>
  <si>
    <t>Verdensa Bygg og Anlegg (drenering garasje)</t>
  </si>
  <si>
    <t>Vaktmesterkompaniet AS</t>
  </si>
  <si>
    <t>Huseierne</t>
  </si>
  <si>
    <t>Oslo Kommune, Innkrevingsetaten</t>
  </si>
  <si>
    <t>If forsikring</t>
  </si>
  <si>
    <t>Kredinor (strøm Entelios)</t>
  </si>
  <si>
    <t>Overføring Gunnar, arbeid på taket</t>
  </si>
  <si>
    <t>Overføring Gunnar , arbeid drenering</t>
  </si>
  <si>
    <t>Overføring Geir Olav (Roundup)</t>
  </si>
  <si>
    <t>Overføring Jakob (reparasjon høytrykksspyler)</t>
  </si>
  <si>
    <t>Overføring Jakob (hjul trillebår)</t>
  </si>
  <si>
    <t>Overføring Jacob (P skilt)</t>
  </si>
  <si>
    <t>Bankgebyr</t>
  </si>
  <si>
    <t>Styreleder 2023</t>
  </si>
  <si>
    <t>Styreleder 2024</t>
  </si>
  <si>
    <t>Forretningsfører 2024</t>
  </si>
  <si>
    <t>Resultat</t>
  </si>
  <si>
    <t>Areal</t>
  </si>
  <si>
    <t>Areal %</t>
  </si>
  <si>
    <t>Bud 2024</t>
  </si>
  <si>
    <t>Avvik</t>
  </si>
  <si>
    <t>Seksjon 1</t>
  </si>
  <si>
    <t>Seksjon 2</t>
  </si>
  <si>
    <t>Seksjon 3</t>
  </si>
  <si>
    <t>Seksjon 4</t>
  </si>
  <si>
    <t>Forsikring fullverdi</t>
  </si>
  <si>
    <t>Strøm</t>
  </si>
  <si>
    <t>Div maling/rep.</t>
  </si>
  <si>
    <t>Dugnad/blomster/mat/gjødsel mm.</t>
  </si>
  <si>
    <t>Huseiernes Landsforbunf</t>
  </si>
  <si>
    <t>Forretningsfører</t>
  </si>
  <si>
    <t>Styreleder</t>
  </si>
  <si>
    <t>Honorar styreleder 2023</t>
  </si>
  <si>
    <t>Trepleie (hvert 3.år 2025)</t>
  </si>
  <si>
    <t>Singel og grus</t>
  </si>
  <si>
    <t>Sum driftsutgifter</t>
  </si>
  <si>
    <t>Totalt</t>
  </si>
  <si>
    <t>Fordeling</t>
  </si>
  <si>
    <t>AREAL</t>
  </si>
  <si>
    <t>Sum utgående betalinger</t>
  </si>
  <si>
    <t>Utgående saldo</t>
  </si>
  <si>
    <t>Sum inngående betalinger</t>
  </si>
  <si>
    <t>Entelios AS (Strøm)</t>
  </si>
  <si>
    <t>Kommunale avgifter</t>
  </si>
  <si>
    <t>Oppkommende prosjekter - Utbedring tak</t>
  </si>
  <si>
    <t>Sum</t>
  </si>
  <si>
    <t>Andel areal</t>
  </si>
  <si>
    <t>Planlagte prosjekter - drenering</t>
  </si>
  <si>
    <t>Andel av samlede kostnader 2024</t>
  </si>
  <si>
    <t>Andel underskudd til fordeling</t>
  </si>
  <si>
    <t>Beregnet korrekt innbetaling 2024</t>
  </si>
  <si>
    <t>Fordeling av kostnader budsjett 2025</t>
  </si>
  <si>
    <t>Faktisk innbetaling 2024</t>
  </si>
  <si>
    <t>Kostnadstype likt på alle</t>
  </si>
  <si>
    <t>Kostnadstype areal</t>
  </si>
  <si>
    <t>Sum kostnader 2024</t>
  </si>
  <si>
    <t xml:space="preserve">Behov for korrigering, 31/12 </t>
  </si>
  <si>
    <t xml:space="preserve">Andel samlede kostnader </t>
  </si>
  <si>
    <t>Korrigering for 2024</t>
  </si>
  <si>
    <t>Kostnader fordelt etter 25% fordeling</t>
  </si>
  <si>
    <t>Nytt mnd beløp 2025</t>
  </si>
  <si>
    <t>For lite innbet felleskostnad januar 2025</t>
  </si>
  <si>
    <t>Felleskostnad Seksjon 1</t>
  </si>
  <si>
    <t>Felleskostnad Seksjon 2</t>
  </si>
  <si>
    <t>Felleskostnad Seksjon 3</t>
  </si>
  <si>
    <t>Felleskostnad Seksjon 4</t>
  </si>
  <si>
    <t>Ekstraordinær felleskostnad, drenering</t>
  </si>
  <si>
    <t>Ny felleskostnad pr mnd 2025</t>
  </si>
  <si>
    <t>Kostnader fordelt på areal</t>
  </si>
  <si>
    <t>Inngående saldo for hver seksjon i 2025, blir dermed lik utgående saldo fra 2023. Vist under her:</t>
  </si>
  <si>
    <t xml:space="preserve">Regnskap for 2023 ble oppgjort etter at regnskap 2024 ble avsluttet. </t>
  </si>
  <si>
    <t>Saldo mellom hver seksjon blir etter oversikt over, nullstilt ved korrigeringsbeløp som innbetales fra hver seksjon.</t>
  </si>
  <si>
    <t>Overføring til 2025 fra 2023 regnskap</t>
  </si>
  <si>
    <t>Oversikt over behov for korrigeringer og overføringer mellom seksjoner - 2024</t>
  </si>
  <si>
    <t>REGNSKAP 2024</t>
  </si>
  <si>
    <t>Tidligere korrigeringsbeløp</t>
  </si>
  <si>
    <t>Behov for justering</t>
  </si>
  <si>
    <t>Saldo pr 31.12.2023</t>
  </si>
  <si>
    <t>Utgifter 2024</t>
  </si>
  <si>
    <t>Inntekter 2024</t>
  </si>
  <si>
    <t>Justering av husleie 2025 etter revidert budsjett</t>
  </si>
  <si>
    <t>Innbetalt pr april 2025</t>
  </si>
  <si>
    <t>Ny felleskostnad pr mnd</t>
  </si>
  <si>
    <t>Rest siste 8 mnd</t>
  </si>
  <si>
    <t>Nytt korrigeringsbeløp</t>
  </si>
  <si>
    <t>Div. reprasjoner, utstyr etc</t>
  </si>
  <si>
    <t>Saldo pr 31.12.2024</t>
  </si>
  <si>
    <t>Behov for korrigering pr seksjon -  2025</t>
  </si>
  <si>
    <t>Budsjett 2025</t>
  </si>
  <si>
    <t>Regnskap 2024</t>
  </si>
  <si>
    <t>Saldo pr seksjon (betales ut til hver seksjon):</t>
  </si>
  <si>
    <t>REGNSKAP 2024 OG BUDSJETT 2025 - SAMEIET MONTEBELLOVEIEN 14, 0377 OSLO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</si>
</sst>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kr&quot;\ * #,##0.00_-;\-&quot;kr&quot;\ * #,##0.00_-;_-&quot;kr&quot;\ * &quot;-&quot;??_-;_-@_-"/>
    <numFmt numFmtId="43" formatCode="_-* #,##0.00_-;\-* #,##0.00_-;_-* &quot;-&quot;??_-;_-@_-"/>
    <numFmt numFmtId="164" formatCode="_(* #,##0.00_);_(* \(#,##0.00\);_(* &quot;-&quot;??_);_(@_)"/>
    <numFmt numFmtId="165" formatCode="0.0\ %"/>
    <numFmt numFmtId="166" formatCode="_ [$kr-414]\ * #,##0.00_ ;_ [$kr-414]\ * \-#,##0.00_ ;_ [$kr-414]\ * &quot;-&quot;??_ ;_ @_ "/>
    <numFmt numFmtId="167" formatCode="#,##0.00_ ;[Red]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67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/>
      <right style="thin">
        <color rgb="FFCCCCCC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indexed="64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rgb="FFCCCCCC"/>
      </right>
      <top style="thin">
        <color indexed="64"/>
      </top>
      <bottom style="thin">
        <color rgb="FFCCCCCC"/>
      </bottom>
      <diagonal/>
    </border>
    <border>
      <left/>
      <right style="thin">
        <color rgb="FFCCCCCC"/>
      </right>
      <top style="thin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indexed="64"/>
      </right>
      <top style="thin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indexed="64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indexed="64"/>
      </right>
      <top style="thin">
        <color rgb="FFCCCCCC"/>
      </top>
      <bottom/>
      <diagonal/>
    </border>
    <border>
      <left style="thin">
        <color indexed="64"/>
      </left>
      <right style="thin">
        <color rgb="FFCCCCCC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rgb="FFCCCCCC"/>
      </right>
      <top style="thin">
        <color rgb="FFCCCCCC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 style="thin">
        <color indexed="64"/>
      </left>
      <right style="thin">
        <color rgb="FFCCCCCC"/>
      </right>
      <top/>
      <bottom style="thin">
        <color rgb="FFCCCCCC"/>
      </bottom>
      <diagonal/>
    </border>
    <border>
      <left/>
      <right style="thin">
        <color indexed="64"/>
      </right>
      <top style="thin">
        <color rgb="FF000000"/>
      </top>
      <bottom style="thin">
        <color rgb="FFCCCCCC"/>
      </bottom>
      <diagonal/>
    </border>
    <border>
      <left/>
      <right style="thin">
        <color indexed="64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CCCCCC"/>
      </right>
      <top style="thin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CCCCCC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CCCCCC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CCCCCC"/>
      </bottom>
      <diagonal/>
    </border>
    <border>
      <left/>
      <right/>
      <top style="medium">
        <color indexed="64"/>
      </top>
      <bottom style="thin">
        <color rgb="FFCCCCCC"/>
      </bottom>
      <diagonal/>
    </border>
    <border>
      <left/>
      <right style="medium">
        <color indexed="64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indexed="64"/>
      </bottom>
      <diagonal/>
    </border>
    <border>
      <left style="thin">
        <color rgb="FFCCCCCC"/>
      </left>
      <right style="medium">
        <color indexed="64"/>
      </right>
      <top/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/>
      <diagonal/>
    </border>
    <border>
      <left style="thin">
        <color rgb="FFCCCCCC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CCCCCC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5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2" borderId="0" xfId="0" applyFill="1"/>
    <xf numFmtId="164" fontId="0" fillId="0" borderId="0" xfId="0" applyNumberFormat="1"/>
    <xf numFmtId="4" fontId="0" fillId="0" borderId="0" xfId="0" applyNumberFormat="1"/>
    <xf numFmtId="43" fontId="2" fillId="0" borderId="0" xfId="1" applyFont="1"/>
    <xf numFmtId="4" fontId="3" fillId="0" borderId="1" xfId="0" applyNumberFormat="1" applyFont="1" applyBorder="1" applyAlignment="1">
      <alignment readingOrder="1"/>
    </xf>
    <xf numFmtId="164" fontId="3" fillId="0" borderId="1" xfId="0" applyNumberFormat="1" applyFont="1" applyBorder="1" applyAlignment="1">
      <alignment readingOrder="1"/>
    </xf>
    <xf numFmtId="164" fontId="6" fillId="0" borderId="0" xfId="0" applyNumberFormat="1" applyFont="1"/>
    <xf numFmtId="0" fontId="5" fillId="2" borderId="0" xfId="0" applyFont="1" applyFill="1"/>
    <xf numFmtId="4" fontId="3" fillId="0" borderId="2" xfId="0" applyNumberFormat="1" applyFont="1" applyBorder="1" applyAlignment="1">
      <alignment readingOrder="1"/>
    </xf>
    <xf numFmtId="164" fontId="3" fillId="0" borderId="2" xfId="0" quotePrefix="1" applyNumberFormat="1" applyFont="1" applyBorder="1" applyAlignment="1">
      <alignment readingOrder="1"/>
    </xf>
    <xf numFmtId="0" fontId="3" fillId="0" borderId="4" xfId="0" applyFont="1" applyBorder="1" applyAlignment="1">
      <alignment readingOrder="1"/>
    </xf>
    <xf numFmtId="0" fontId="3" fillId="0" borderId="3" xfId="0" applyFont="1" applyBorder="1" applyAlignment="1">
      <alignment horizontal="right" readingOrder="1"/>
    </xf>
    <xf numFmtId="9" fontId="3" fillId="0" borderId="3" xfId="0" applyNumberFormat="1" applyFont="1" applyBorder="1" applyAlignment="1">
      <alignment horizontal="right" readingOrder="1"/>
    </xf>
    <xf numFmtId="0" fontId="0" fillId="4" borderId="0" xfId="0" applyFill="1"/>
    <xf numFmtId="0" fontId="5" fillId="4" borderId="0" xfId="0" applyFont="1" applyFill="1"/>
    <xf numFmtId="9" fontId="0" fillId="4" borderId="0" xfId="0" applyNumberFormat="1" applyFill="1" applyAlignment="1">
      <alignment horizontal="right"/>
    </xf>
    <xf numFmtId="0" fontId="0" fillId="4" borderId="0" xfId="0" applyFill="1" applyAlignment="1">
      <alignment horizontal="right"/>
    </xf>
    <xf numFmtId="0" fontId="5" fillId="0" borderId="5" xfId="0" applyFont="1" applyBorder="1"/>
    <xf numFmtId="0" fontId="5" fillId="4" borderId="5" xfId="0" applyFont="1" applyFill="1" applyBorder="1"/>
    <xf numFmtId="43" fontId="5" fillId="0" borderId="5" xfId="1" applyFont="1" applyBorder="1"/>
    <xf numFmtId="0" fontId="5" fillId="6" borderId="6" xfId="0" applyFont="1" applyFill="1" applyBorder="1"/>
    <xf numFmtId="0" fontId="5" fillId="6" borderId="7" xfId="0" applyFont="1" applyFill="1" applyBorder="1"/>
    <xf numFmtId="0" fontId="5" fillId="6" borderId="8" xfId="0" applyFont="1" applyFill="1" applyBorder="1"/>
    <xf numFmtId="0" fontId="5" fillId="6" borderId="9" xfId="0" applyFont="1" applyFill="1" applyBorder="1"/>
    <xf numFmtId="0" fontId="5" fillId="6" borderId="0" xfId="0" applyFont="1" applyFill="1"/>
    <xf numFmtId="0" fontId="5" fillId="6" borderId="11" xfId="0" applyFont="1" applyFill="1" applyBorder="1"/>
    <xf numFmtId="0" fontId="5" fillId="6" borderId="12" xfId="0" applyFont="1" applyFill="1" applyBorder="1"/>
    <xf numFmtId="0" fontId="5" fillId="6" borderId="0" xfId="0" applyFont="1" applyFill="1" applyAlignment="1">
      <alignment horizontal="center"/>
    </xf>
    <xf numFmtId="0" fontId="5" fillId="6" borderId="10" xfId="0" applyFont="1" applyFill="1" applyBorder="1" applyAlignment="1">
      <alignment horizontal="center"/>
    </xf>
    <xf numFmtId="165" fontId="5" fillId="6" borderId="12" xfId="2" applyNumberFormat="1" applyFont="1" applyFill="1" applyBorder="1" applyAlignment="1">
      <alignment horizontal="center"/>
    </xf>
    <xf numFmtId="165" fontId="5" fillId="6" borderId="13" xfId="0" applyNumberFormat="1" applyFont="1" applyFill="1" applyBorder="1" applyAlignment="1">
      <alignment horizontal="center"/>
    </xf>
    <xf numFmtId="0" fontId="5" fillId="0" borderId="0" xfId="0" applyFont="1"/>
    <xf numFmtId="43" fontId="5" fillId="0" borderId="0" xfId="1" applyFont="1" applyBorder="1"/>
    <xf numFmtId="43" fontId="5" fillId="0" borderId="0" xfId="0" applyNumberFormat="1" applyFont="1"/>
    <xf numFmtId="9" fontId="5" fillId="4" borderId="5" xfId="0" applyNumberFormat="1" applyFont="1" applyFill="1" applyBorder="1" applyAlignment="1">
      <alignment horizontal="right"/>
    </xf>
    <xf numFmtId="0" fontId="5" fillId="4" borderId="0" xfId="0" applyFont="1" applyFill="1" applyAlignment="1">
      <alignment vertical="top"/>
    </xf>
    <xf numFmtId="43" fontId="3" fillId="0" borderId="1" xfId="0" applyNumberFormat="1" applyFont="1" applyBorder="1" applyAlignment="1">
      <alignment readingOrder="1"/>
    </xf>
    <xf numFmtId="9" fontId="3" fillId="0" borderId="4" xfId="0" applyNumberFormat="1" applyFont="1" applyBorder="1" applyAlignment="1">
      <alignment horizontal="right" readingOrder="1"/>
    </xf>
    <xf numFmtId="164" fontId="3" fillId="0" borderId="2" xfId="0" applyNumberFormat="1" applyFont="1" applyBorder="1" applyAlignment="1">
      <alignment readingOrder="1"/>
    </xf>
    <xf numFmtId="4" fontId="3" fillId="0" borderId="16" xfId="0" applyNumberFormat="1" applyFont="1" applyBorder="1" applyAlignment="1">
      <alignment readingOrder="1"/>
    </xf>
    <xf numFmtId="4" fontId="3" fillId="0" borderId="14" xfId="0" applyNumberFormat="1" applyFont="1" applyBorder="1" applyAlignment="1">
      <alignment readingOrder="1"/>
    </xf>
    <xf numFmtId="9" fontId="3" fillId="0" borderId="3" xfId="2" applyFont="1" applyBorder="1" applyAlignment="1">
      <alignment horizontal="right" readingOrder="1"/>
    </xf>
    <xf numFmtId="165" fontId="3" fillId="6" borderId="17" xfId="0" applyNumberFormat="1" applyFont="1" applyFill="1" applyBorder="1" applyAlignment="1">
      <alignment vertical="center" readingOrder="1"/>
    </xf>
    <xf numFmtId="4" fontId="3" fillId="0" borderId="3" xfId="0" applyNumberFormat="1" applyFont="1" applyBorder="1" applyAlignment="1">
      <alignment readingOrder="1"/>
    </xf>
    <xf numFmtId="164" fontId="3" fillId="0" borderId="3" xfId="0" applyNumberFormat="1" applyFont="1" applyBorder="1" applyAlignment="1">
      <alignment readingOrder="1"/>
    </xf>
    <xf numFmtId="164" fontId="3" fillId="0" borderId="4" xfId="0" applyNumberFormat="1" applyFont="1" applyBorder="1" applyAlignment="1">
      <alignment readingOrder="1"/>
    </xf>
    <xf numFmtId="0" fontId="3" fillId="3" borderId="19" xfId="0" applyFont="1" applyFill="1" applyBorder="1" applyAlignment="1">
      <alignment readingOrder="1"/>
    </xf>
    <xf numFmtId="0" fontId="3" fillId="3" borderId="20" xfId="0" applyFont="1" applyFill="1" applyBorder="1" applyAlignment="1">
      <alignment readingOrder="1"/>
    </xf>
    <xf numFmtId="0" fontId="8" fillId="3" borderId="21" xfId="0" applyFont="1" applyFill="1" applyBorder="1" applyAlignment="1">
      <alignment horizontal="center" vertical="center" readingOrder="1"/>
    </xf>
    <xf numFmtId="0" fontId="4" fillId="3" borderId="21" xfId="0" applyFont="1" applyFill="1" applyBorder="1" applyAlignment="1">
      <alignment horizontal="center" vertical="center" wrapText="1" readingOrder="1"/>
    </xf>
    <xf numFmtId="0" fontId="4" fillId="3" borderId="22" xfId="0" applyFont="1" applyFill="1" applyBorder="1" applyAlignment="1">
      <alignment horizontal="center" vertical="center" wrapText="1" readingOrder="1"/>
    </xf>
    <xf numFmtId="165" fontId="0" fillId="0" borderId="0" xfId="2" applyNumberFormat="1" applyFont="1" applyBorder="1"/>
    <xf numFmtId="4" fontId="3" fillId="6" borderId="23" xfId="0" applyNumberFormat="1" applyFont="1" applyFill="1" applyBorder="1" applyAlignment="1">
      <alignment readingOrder="1"/>
    </xf>
    <xf numFmtId="0" fontId="3" fillId="0" borderId="24" xfId="0" applyFont="1" applyBorder="1" applyAlignment="1">
      <alignment readingOrder="1"/>
    </xf>
    <xf numFmtId="164" fontId="3" fillId="6" borderId="25" xfId="0" quotePrefix="1" applyNumberFormat="1" applyFont="1" applyFill="1" applyBorder="1" applyAlignment="1">
      <alignment readingOrder="1"/>
    </xf>
    <xf numFmtId="0" fontId="7" fillId="0" borderId="28" xfId="0" applyFont="1" applyBorder="1" applyAlignment="1">
      <alignment readingOrder="1"/>
    </xf>
    <xf numFmtId="164" fontId="3" fillId="6" borderId="23" xfId="0" quotePrefix="1" applyNumberFormat="1" applyFont="1" applyFill="1" applyBorder="1" applyAlignment="1">
      <alignment readingOrder="1"/>
    </xf>
    <xf numFmtId="0" fontId="3" fillId="0" borderId="28" xfId="0" applyFont="1" applyBorder="1" applyAlignment="1">
      <alignment readingOrder="1"/>
    </xf>
    <xf numFmtId="43" fontId="0" fillId="0" borderId="0" xfId="1" applyFont="1" applyBorder="1"/>
    <xf numFmtId="4" fontId="3" fillId="0" borderId="26" xfId="0" applyNumberFormat="1" applyFont="1" applyBorder="1" applyAlignment="1">
      <alignment readingOrder="1"/>
    </xf>
    <xf numFmtId="165" fontId="3" fillId="6" borderId="29" xfId="0" applyNumberFormat="1" applyFont="1" applyFill="1" applyBorder="1" applyAlignment="1">
      <alignment vertical="center" readingOrder="1"/>
    </xf>
    <xf numFmtId="4" fontId="3" fillId="0" borderId="31" xfId="0" applyNumberFormat="1" applyFont="1" applyBorder="1" applyAlignment="1">
      <alignment readingOrder="1"/>
    </xf>
    <xf numFmtId="4" fontId="3" fillId="0" borderId="28" xfId="0" applyNumberFormat="1" applyFont="1" applyBorder="1" applyAlignment="1">
      <alignment readingOrder="1"/>
    </xf>
    <xf numFmtId="4" fontId="3" fillId="0" borderId="24" xfId="0" applyNumberFormat="1" applyFont="1" applyBorder="1" applyAlignment="1">
      <alignment readingOrder="1"/>
    </xf>
    <xf numFmtId="0" fontId="4" fillId="3" borderId="32" xfId="0" applyFont="1" applyFill="1" applyBorder="1" applyAlignment="1">
      <alignment horizontal="center" vertical="center" wrapText="1" readingOrder="1"/>
    </xf>
    <xf numFmtId="164" fontId="3" fillId="6" borderId="33" xfId="0" applyNumberFormat="1" applyFont="1" applyFill="1" applyBorder="1" applyAlignment="1">
      <alignment readingOrder="1"/>
    </xf>
    <xf numFmtId="164" fontId="3" fillId="6" borderId="18" xfId="0" applyNumberFormat="1" applyFont="1" applyFill="1" applyBorder="1" applyAlignment="1">
      <alignment readingOrder="1"/>
    </xf>
    <xf numFmtId="164" fontId="3" fillId="6" borderId="30" xfId="0" applyNumberFormat="1" applyFont="1" applyFill="1" applyBorder="1" applyAlignment="1">
      <alignment readingOrder="1"/>
    </xf>
    <xf numFmtId="0" fontId="4" fillId="3" borderId="20" xfId="0" applyFont="1" applyFill="1" applyBorder="1" applyAlignment="1">
      <alignment horizontal="center" vertical="center" readingOrder="1"/>
    </xf>
    <xf numFmtId="0" fontId="3" fillId="0" borderId="23" xfId="0" applyFont="1" applyBorder="1" applyAlignment="1">
      <alignment readingOrder="1"/>
    </xf>
    <xf numFmtId="164" fontId="3" fillId="0" borderId="25" xfId="0" quotePrefix="1" applyNumberFormat="1" applyFont="1" applyBorder="1" applyAlignment="1">
      <alignment readingOrder="1"/>
    </xf>
    <xf numFmtId="4" fontId="3" fillId="0" borderId="23" xfId="0" applyNumberFormat="1" applyFont="1" applyBorder="1" applyAlignment="1">
      <alignment readingOrder="1"/>
    </xf>
    <xf numFmtId="4" fontId="3" fillId="0" borderId="25" xfId="0" applyNumberFormat="1" applyFont="1" applyBorder="1" applyAlignment="1">
      <alignment readingOrder="1"/>
    </xf>
    <xf numFmtId="0" fontId="8" fillId="0" borderId="26" xfId="0" applyFont="1" applyBorder="1" applyAlignment="1">
      <alignment readingOrder="1"/>
    </xf>
    <xf numFmtId="0" fontId="8" fillId="0" borderId="15" xfId="0" applyFont="1" applyBorder="1" applyAlignment="1">
      <alignment horizontal="right" readingOrder="1"/>
    </xf>
    <xf numFmtId="4" fontId="8" fillId="0" borderId="16" xfId="0" applyNumberFormat="1" applyFont="1" applyBorder="1" applyAlignment="1">
      <alignment readingOrder="1"/>
    </xf>
    <xf numFmtId="4" fontId="8" fillId="6" borderId="27" xfId="0" applyNumberFormat="1" applyFont="1" applyFill="1" applyBorder="1" applyAlignment="1">
      <alignment readingOrder="1"/>
    </xf>
    <xf numFmtId="4" fontId="8" fillId="0" borderId="15" xfId="0" applyNumberFormat="1" applyFont="1" applyBorder="1" applyAlignment="1">
      <alignment readingOrder="1"/>
    </xf>
    <xf numFmtId="4" fontId="8" fillId="0" borderId="27" xfId="0" applyNumberFormat="1" applyFont="1" applyBorder="1" applyAlignment="1">
      <alignment readingOrder="1"/>
    </xf>
    <xf numFmtId="164" fontId="8" fillId="6" borderId="5" xfId="0" quotePrefix="1" applyNumberFormat="1" applyFont="1" applyFill="1" applyBorder="1" applyAlignment="1">
      <alignment readingOrder="1"/>
    </xf>
    <xf numFmtId="0" fontId="8" fillId="0" borderId="15" xfId="0" applyFont="1" applyBorder="1" applyAlignment="1">
      <alignment readingOrder="1"/>
    </xf>
    <xf numFmtId="164" fontId="8" fillId="0" borderId="15" xfId="0" quotePrefix="1" applyNumberFormat="1" applyFont="1" applyBorder="1" applyAlignment="1">
      <alignment readingOrder="1"/>
    </xf>
    <xf numFmtId="164" fontId="8" fillId="0" borderId="27" xfId="0" quotePrefix="1" applyNumberFormat="1" applyFont="1" applyBorder="1" applyAlignment="1">
      <alignment readingOrder="1"/>
    </xf>
    <xf numFmtId="0" fontId="10" fillId="0" borderId="40" xfId="0" applyFont="1" applyBorder="1"/>
    <xf numFmtId="0" fontId="0" fillId="0" borderId="41" xfId="0" applyBorder="1"/>
    <xf numFmtId="43" fontId="0" fillId="0" borderId="42" xfId="1" applyFont="1" applyBorder="1"/>
    <xf numFmtId="0" fontId="0" fillId="0" borderId="43" xfId="0" applyBorder="1"/>
    <xf numFmtId="0" fontId="5" fillId="6" borderId="44" xfId="0" applyFont="1" applyFill="1" applyBorder="1"/>
    <xf numFmtId="0" fontId="5" fillId="6" borderId="45" xfId="0" applyFont="1" applyFill="1" applyBorder="1" applyAlignment="1">
      <alignment horizontal="center"/>
    </xf>
    <xf numFmtId="165" fontId="5" fillId="6" borderId="46" xfId="0" applyNumberFormat="1" applyFont="1" applyFill="1" applyBorder="1" applyAlignment="1">
      <alignment horizontal="center"/>
    </xf>
    <xf numFmtId="43" fontId="0" fillId="0" borderId="45" xfId="1" applyFont="1" applyBorder="1"/>
    <xf numFmtId="9" fontId="0" fillId="0" borderId="0" xfId="0" applyNumberFormat="1"/>
    <xf numFmtId="9" fontId="0" fillId="0" borderId="45" xfId="2" applyFont="1" applyBorder="1"/>
    <xf numFmtId="43" fontId="0" fillId="0" borderId="45" xfId="0" applyNumberFormat="1" applyBorder="1"/>
    <xf numFmtId="0" fontId="5" fillId="0" borderId="43" xfId="0" applyFont="1" applyBorder="1"/>
    <xf numFmtId="43" fontId="5" fillId="0" borderId="45" xfId="0" applyNumberFormat="1" applyFont="1" applyBorder="1"/>
    <xf numFmtId="0" fontId="5" fillId="0" borderId="47" xfId="0" applyFont="1" applyBorder="1"/>
    <xf numFmtId="0" fontId="5" fillId="0" borderId="35" xfId="0" applyFont="1" applyBorder="1"/>
    <xf numFmtId="0" fontId="3" fillId="6" borderId="49" xfId="0" applyFont="1" applyFill="1" applyBorder="1" applyAlignment="1">
      <alignment readingOrder="1"/>
    </xf>
    <xf numFmtId="0" fontId="0" fillId="0" borderId="40" xfId="0" applyBorder="1"/>
    <xf numFmtId="0" fontId="3" fillId="0" borderId="41" xfId="0" applyFont="1" applyBorder="1" applyAlignment="1">
      <alignment readingOrder="1"/>
    </xf>
    <xf numFmtId="0" fontId="9" fillId="6" borderId="50" xfId="0" applyFont="1" applyFill="1" applyBorder="1" applyAlignment="1">
      <alignment readingOrder="1"/>
    </xf>
    <xf numFmtId="0" fontId="9" fillId="6" borderId="51" xfId="0" applyFont="1" applyFill="1" applyBorder="1" applyAlignment="1">
      <alignment readingOrder="1"/>
    </xf>
    <xf numFmtId="0" fontId="9" fillId="6" borderId="52" xfId="0" applyFont="1" applyFill="1" applyBorder="1" applyAlignment="1">
      <alignment readingOrder="1"/>
    </xf>
    <xf numFmtId="0" fontId="3" fillId="0" borderId="0" xfId="0" applyFont="1" applyAlignment="1">
      <alignment readingOrder="1"/>
    </xf>
    <xf numFmtId="0" fontId="0" fillId="7" borderId="43" xfId="0" applyFill="1" applyBorder="1"/>
    <xf numFmtId="0" fontId="8" fillId="7" borderId="0" xfId="0" applyFont="1" applyFill="1" applyAlignment="1">
      <alignment vertical="center" readingOrder="1"/>
    </xf>
    <xf numFmtId="165" fontId="3" fillId="6" borderId="54" xfId="0" applyNumberFormat="1" applyFont="1" applyFill="1" applyBorder="1" applyAlignment="1">
      <alignment vertical="center" readingOrder="1"/>
    </xf>
    <xf numFmtId="4" fontId="3" fillId="0" borderId="55" xfId="0" applyNumberFormat="1" applyFont="1" applyBorder="1" applyAlignment="1">
      <alignment readingOrder="1"/>
    </xf>
    <xf numFmtId="4" fontId="3" fillId="0" borderId="53" xfId="0" applyNumberFormat="1" applyFont="1" applyBorder="1" applyAlignment="1">
      <alignment readingOrder="1"/>
    </xf>
    <xf numFmtId="4" fontId="3" fillId="0" borderId="56" xfId="0" applyNumberFormat="1" applyFont="1" applyBorder="1" applyAlignment="1">
      <alignment readingOrder="1"/>
    </xf>
    <xf numFmtId="4" fontId="3" fillId="0" borderId="57" xfId="0" applyNumberFormat="1" applyFont="1" applyBorder="1" applyAlignment="1">
      <alignment readingOrder="1"/>
    </xf>
    <xf numFmtId="165" fontId="5" fillId="6" borderId="34" xfId="2" applyNumberFormat="1" applyFont="1" applyFill="1" applyBorder="1"/>
    <xf numFmtId="165" fontId="5" fillId="6" borderId="35" xfId="2" applyNumberFormat="1" applyFont="1" applyFill="1" applyBorder="1"/>
    <xf numFmtId="165" fontId="5" fillId="6" borderId="60" xfId="2" applyNumberFormat="1" applyFont="1" applyFill="1" applyBorder="1"/>
    <xf numFmtId="0" fontId="0" fillId="0" borderId="42" xfId="0" applyBorder="1"/>
    <xf numFmtId="0" fontId="5" fillId="6" borderId="62" xfId="0" applyFont="1" applyFill="1" applyBorder="1"/>
    <xf numFmtId="43" fontId="0" fillId="0" borderId="63" xfId="0" applyNumberFormat="1" applyBorder="1"/>
    <xf numFmtId="4" fontId="0" fillId="0" borderId="63" xfId="0" applyNumberFormat="1" applyBorder="1"/>
    <xf numFmtId="0" fontId="5" fillId="7" borderId="47" xfId="0" applyFont="1" applyFill="1" applyBorder="1"/>
    <xf numFmtId="43" fontId="5" fillId="0" borderId="35" xfId="0" applyNumberFormat="1" applyFont="1" applyBorder="1"/>
    <xf numFmtId="166" fontId="5" fillId="7" borderId="35" xfId="3" applyNumberFormat="1" applyFont="1" applyFill="1" applyBorder="1"/>
    <xf numFmtId="166" fontId="5" fillId="7" borderId="60" xfId="3" applyNumberFormat="1" applyFont="1" applyFill="1" applyBorder="1"/>
    <xf numFmtId="0" fontId="4" fillId="3" borderId="28" xfId="0" applyFont="1" applyFill="1" applyBorder="1" applyAlignment="1">
      <alignment horizontal="right" readingOrder="1"/>
    </xf>
    <xf numFmtId="0" fontId="4" fillId="3" borderId="1" xfId="0" applyFont="1" applyFill="1" applyBorder="1" applyAlignment="1">
      <alignment horizontal="right" readingOrder="1"/>
    </xf>
    <xf numFmtId="0" fontId="4" fillId="3" borderId="53" xfId="0" applyFont="1" applyFill="1" applyBorder="1" applyAlignment="1">
      <alignment horizontal="right" readingOrder="1"/>
    </xf>
    <xf numFmtId="4" fontId="5" fillId="0" borderId="0" xfId="0" applyNumberFormat="1" applyFont="1"/>
    <xf numFmtId="0" fontId="0" fillId="5" borderId="64" xfId="0" applyFill="1" applyBorder="1"/>
    <xf numFmtId="43" fontId="5" fillId="5" borderId="64" xfId="1" applyFont="1" applyFill="1" applyBorder="1"/>
    <xf numFmtId="43" fontId="5" fillId="5" borderId="65" xfId="1" applyFont="1" applyFill="1" applyBorder="1"/>
    <xf numFmtId="0" fontId="5" fillId="5" borderId="59" xfId="0" applyFont="1" applyFill="1" applyBorder="1"/>
    <xf numFmtId="0" fontId="5" fillId="5" borderId="66" xfId="0" applyFont="1" applyFill="1" applyBorder="1"/>
    <xf numFmtId="0" fontId="5" fillId="5" borderId="7" xfId="0" applyFont="1" applyFill="1" applyBorder="1"/>
    <xf numFmtId="0" fontId="5" fillId="7" borderId="40" xfId="0" applyFont="1" applyFill="1" applyBorder="1"/>
    <xf numFmtId="0" fontId="5" fillId="7" borderId="41" xfId="0" applyFont="1" applyFill="1" applyBorder="1"/>
    <xf numFmtId="4" fontId="5" fillId="7" borderId="41" xfId="0" applyNumberFormat="1" applyFont="1" applyFill="1" applyBorder="1"/>
    <xf numFmtId="43" fontId="5" fillId="7" borderId="42" xfId="0" applyNumberFormat="1" applyFont="1" applyFill="1" applyBorder="1"/>
    <xf numFmtId="0" fontId="5" fillId="7" borderId="43" xfId="0" applyFont="1" applyFill="1" applyBorder="1"/>
    <xf numFmtId="0" fontId="5" fillId="7" borderId="0" xfId="0" applyFont="1" applyFill="1"/>
    <xf numFmtId="4" fontId="5" fillId="7" borderId="0" xfId="0" applyNumberFormat="1" applyFont="1" applyFill="1"/>
    <xf numFmtId="43" fontId="5" fillId="7" borderId="63" xfId="0" applyNumberFormat="1" applyFont="1" applyFill="1" applyBorder="1"/>
    <xf numFmtId="43" fontId="1" fillId="0" borderId="0" xfId="1" applyFont="1"/>
    <xf numFmtId="0" fontId="4" fillId="0" borderId="3" xfId="0" applyFont="1" applyBorder="1" applyAlignment="1">
      <alignment horizontal="right" readingOrder="1"/>
    </xf>
    <xf numFmtId="0" fontId="10" fillId="0" borderId="0" xfId="0" applyFont="1"/>
    <xf numFmtId="43" fontId="5" fillId="0" borderId="35" xfId="1" applyFont="1" applyBorder="1"/>
    <xf numFmtId="0" fontId="0" fillId="7" borderId="0" xfId="0" applyFill="1"/>
    <xf numFmtId="0" fontId="4" fillId="7" borderId="0" xfId="0" applyFont="1" applyFill="1" applyAlignment="1">
      <alignment horizontal="right" readingOrder="1"/>
    </xf>
    <xf numFmtId="167" fontId="4" fillId="5" borderId="34" xfId="0" applyNumberFormat="1" applyFont="1" applyFill="1" applyBorder="1" applyAlignment="1">
      <alignment readingOrder="1"/>
    </xf>
    <xf numFmtId="167" fontId="3" fillId="5" borderId="35" xfId="0" applyNumberFormat="1" applyFont="1" applyFill="1" applyBorder="1" applyAlignment="1">
      <alignment readingOrder="1"/>
    </xf>
    <xf numFmtId="167" fontId="4" fillId="0" borderId="36" xfId="0" applyNumberFormat="1" applyFont="1" applyBorder="1" applyAlignment="1">
      <alignment readingOrder="1"/>
    </xf>
    <xf numFmtId="167" fontId="4" fillId="6" borderId="37" xfId="1" applyNumberFormat="1" applyFont="1" applyFill="1" applyBorder="1" applyAlignment="1">
      <alignment readingOrder="1"/>
    </xf>
    <xf numFmtId="167" fontId="4" fillId="0" borderId="38" xfId="0" applyNumberFormat="1" applyFont="1" applyBorder="1" applyAlignment="1">
      <alignment readingOrder="1"/>
    </xf>
    <xf numFmtId="167" fontId="4" fillId="3" borderId="24" xfId="0" applyNumberFormat="1" applyFont="1" applyFill="1" applyBorder="1" applyAlignment="1">
      <alignment readingOrder="1"/>
    </xf>
    <xf numFmtId="167" fontId="4" fillId="3" borderId="2" xfId="0" applyNumberFormat="1" applyFont="1" applyFill="1" applyBorder="1" applyAlignment="1">
      <alignment readingOrder="1"/>
    </xf>
    <xf numFmtId="167" fontId="4" fillId="3" borderId="56" xfId="0" applyNumberFormat="1" applyFont="1" applyFill="1" applyBorder="1" applyAlignment="1">
      <alignment readingOrder="1"/>
    </xf>
    <xf numFmtId="167" fontId="0" fillId="0" borderId="0" xfId="0" applyNumberFormat="1"/>
    <xf numFmtId="167" fontId="5" fillId="0" borderId="47" xfId="0" applyNumberFormat="1" applyFont="1" applyBorder="1"/>
    <xf numFmtId="167" fontId="5" fillId="0" borderId="35" xfId="0" applyNumberFormat="1" applyFont="1" applyBorder="1"/>
    <xf numFmtId="167" fontId="5" fillId="0" borderId="48" xfId="0" applyNumberFormat="1" applyFont="1" applyBorder="1"/>
    <xf numFmtId="167" fontId="0" fillId="0" borderId="43" xfId="0" applyNumberFormat="1" applyBorder="1"/>
    <xf numFmtId="167" fontId="0" fillId="0" borderId="63" xfId="0" applyNumberFormat="1" applyBorder="1"/>
    <xf numFmtId="4" fontId="0" fillId="0" borderId="40" xfId="0" applyNumberFormat="1" applyBorder="1"/>
    <xf numFmtId="4" fontId="0" fillId="0" borderId="42" xfId="0" applyNumberFormat="1" applyBorder="1"/>
    <xf numFmtId="4" fontId="5" fillId="0" borderId="60" xfId="0" applyNumberFormat="1" applyFont="1" applyBorder="1"/>
    <xf numFmtId="167" fontId="5" fillId="0" borderId="7" xfId="0" applyNumberFormat="1" applyFont="1" applyBorder="1"/>
    <xf numFmtId="167" fontId="5" fillId="0" borderId="7" xfId="3" applyNumberFormat="1" applyFont="1" applyBorder="1"/>
    <xf numFmtId="167" fontId="4" fillId="6" borderId="48" xfId="1" applyNumberFormat="1" applyFont="1" applyFill="1" applyBorder="1" applyAlignment="1">
      <alignment readingOrder="1"/>
    </xf>
    <xf numFmtId="0" fontId="11" fillId="0" borderId="0" xfId="0" applyFont="1"/>
    <xf numFmtId="167" fontId="4" fillId="7" borderId="58" xfId="0" applyNumberFormat="1" applyFont="1" applyFill="1" applyBorder="1" applyAlignment="1">
      <alignment horizontal="right" vertical="top" readingOrder="1"/>
    </xf>
    <xf numFmtId="167" fontId="4" fillId="7" borderId="39" xfId="0" applyNumberFormat="1" applyFont="1" applyFill="1" applyBorder="1" applyAlignment="1">
      <alignment horizontal="right" vertical="top" readingOrder="1"/>
    </xf>
    <xf numFmtId="0" fontId="5" fillId="7" borderId="59" xfId="0" applyFont="1" applyFill="1" applyBorder="1" applyAlignment="1">
      <alignment horizontal="center"/>
    </xf>
    <xf numFmtId="0" fontId="5" fillId="7" borderId="61" xfId="0" applyFont="1" applyFill="1" applyBorder="1" applyAlignment="1">
      <alignment horizontal="center"/>
    </xf>
  </cellXfs>
  <cellStyles count="4">
    <cellStyle name="Komma" xfId="1" builtinId="3"/>
    <cellStyle name="Normal" xfId="0" builtinId="0"/>
    <cellStyle name="Prosent" xfId="2" builtinId="5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1B085-8420-4369-96D7-7E16C1E9326D}">
  <sheetPr>
    <pageSetUpPr fitToPage="1"/>
  </sheetPr>
  <dimension ref="B1:T106"/>
  <sheetViews>
    <sheetView tabSelected="1" zoomScaleNormal="100" workbookViewId="0">
      <selection activeCell="T16" sqref="T16"/>
    </sheetView>
  </sheetViews>
  <sheetFormatPr baseColWidth="10" defaultColWidth="9.1796875" defaultRowHeight="14.5" x14ac:dyDescent="0.35"/>
  <cols>
    <col min="1" max="1" width="1.81640625" customWidth="1"/>
    <col min="2" max="2" width="39.7265625" customWidth="1"/>
    <col min="3" max="3" width="12.7265625" customWidth="1"/>
    <col min="4" max="4" width="12.26953125" customWidth="1"/>
    <col min="5" max="5" width="14.453125" customWidth="1"/>
    <col min="6" max="7" width="13.1796875" customWidth="1"/>
    <col min="8" max="8" width="12.81640625" customWidth="1"/>
    <col min="9" max="9" width="11.81640625" customWidth="1"/>
    <col min="10" max="11" width="11.1796875" customWidth="1"/>
    <col min="12" max="12" width="11.7265625" customWidth="1"/>
    <col min="13" max="13" width="12.26953125" customWidth="1"/>
    <col min="14" max="14" width="12.7265625" customWidth="1"/>
    <col min="15" max="15" width="12.54296875" customWidth="1"/>
    <col min="16" max="16" width="19.54296875" customWidth="1"/>
    <col min="17" max="18" width="13.453125" customWidth="1"/>
    <col min="19" max="19" width="12.453125" customWidth="1"/>
    <col min="20" max="20" width="11.1796875" bestFit="1" customWidth="1"/>
    <col min="22" max="22" width="15.26953125" bestFit="1" customWidth="1"/>
  </cols>
  <sheetData>
    <row r="1" spans="2:19" s="170" customFormat="1" ht="21" x14ac:dyDescent="0.5">
      <c r="B1" s="170" t="s">
        <v>106</v>
      </c>
    </row>
    <row r="3" spans="2:19" x14ac:dyDescent="0.35">
      <c r="B3" s="23"/>
      <c r="C3" s="24"/>
      <c r="D3" s="24" t="s">
        <v>36</v>
      </c>
      <c r="E3" s="24" t="s">
        <v>37</v>
      </c>
      <c r="F3" s="24" t="s">
        <v>38</v>
      </c>
      <c r="G3" s="24" t="s">
        <v>39</v>
      </c>
      <c r="H3" s="25" t="s">
        <v>51</v>
      </c>
    </row>
    <row r="4" spans="2:19" x14ac:dyDescent="0.35">
      <c r="B4" s="26" t="s">
        <v>32</v>
      </c>
      <c r="C4" s="27"/>
      <c r="D4" s="30">
        <v>232</v>
      </c>
      <c r="E4" s="30">
        <v>153</v>
      </c>
      <c r="F4" s="30">
        <v>159</v>
      </c>
      <c r="G4" s="30">
        <v>106</v>
      </c>
      <c r="H4" s="31">
        <f>SUM(D4:G4)</f>
        <v>650</v>
      </c>
    </row>
    <row r="5" spans="2:19" x14ac:dyDescent="0.35">
      <c r="B5" s="28" t="s">
        <v>33</v>
      </c>
      <c r="C5" s="29"/>
      <c r="D5" s="32">
        <f>+D4/$H4</f>
        <v>0.3569230769230769</v>
      </c>
      <c r="E5" s="32">
        <f t="shared" ref="E5:G5" si="0">+E4/$H4</f>
        <v>0.23538461538461539</v>
      </c>
      <c r="F5" s="32">
        <f t="shared" si="0"/>
        <v>0.24461538461538462</v>
      </c>
      <c r="G5" s="32">
        <f t="shared" si="0"/>
        <v>0.16307692307692306</v>
      </c>
      <c r="H5" s="33">
        <f>SUM(D5:G5)</f>
        <v>1</v>
      </c>
    </row>
    <row r="6" spans="2:19" x14ac:dyDescent="0.35">
      <c r="C6" s="38" t="s">
        <v>52</v>
      </c>
      <c r="D6" s="5">
        <v>76054.45</v>
      </c>
      <c r="E6" s="5">
        <f>+D38</f>
        <v>90640</v>
      </c>
      <c r="F6" s="5">
        <f>E38</f>
        <v>103463.94</v>
      </c>
      <c r="G6" s="5">
        <f>F38</f>
        <v>88164.6</v>
      </c>
      <c r="H6" s="5">
        <f>G38</f>
        <v>100383.29</v>
      </c>
      <c r="I6" s="4">
        <f t="shared" ref="I6:O6" si="1">+H38</f>
        <v>83535.789999999994</v>
      </c>
      <c r="J6" s="4">
        <f t="shared" si="1"/>
        <v>37781.609999999993</v>
      </c>
      <c r="K6" s="4">
        <f t="shared" si="1"/>
        <v>29145.05999999999</v>
      </c>
      <c r="L6" s="4">
        <f t="shared" si="1"/>
        <v>36673.399999999987</v>
      </c>
      <c r="M6" s="4">
        <f t="shared" si="1"/>
        <v>18917.569999999985</v>
      </c>
      <c r="N6" s="4">
        <f t="shared" si="1"/>
        <v>9862.8099999999831</v>
      </c>
      <c r="O6" s="1">
        <f t="shared" si="1"/>
        <v>23856.059999999983</v>
      </c>
      <c r="S6" s="9"/>
    </row>
    <row r="7" spans="2:19" x14ac:dyDescent="0.35">
      <c r="B7" s="10" t="s">
        <v>89</v>
      </c>
      <c r="C7" s="17"/>
      <c r="D7" s="3" t="s">
        <v>0</v>
      </c>
      <c r="E7" s="3" t="s">
        <v>1</v>
      </c>
      <c r="F7" s="3" t="s">
        <v>2</v>
      </c>
      <c r="G7" s="3" t="s">
        <v>3</v>
      </c>
      <c r="H7" s="3" t="s">
        <v>4</v>
      </c>
      <c r="I7" s="3" t="s">
        <v>5</v>
      </c>
      <c r="J7" s="3" t="s">
        <v>6</v>
      </c>
      <c r="K7" s="3" t="s">
        <v>7</v>
      </c>
      <c r="L7" s="3" t="s">
        <v>8</v>
      </c>
      <c r="M7" s="3" t="s">
        <v>9</v>
      </c>
      <c r="N7" s="3" t="s">
        <v>10</v>
      </c>
      <c r="O7" s="3" t="s">
        <v>11</v>
      </c>
      <c r="P7" s="3" t="s">
        <v>12</v>
      </c>
    </row>
    <row r="8" spans="2:19" x14ac:dyDescent="0.35">
      <c r="B8" t="s">
        <v>77</v>
      </c>
      <c r="C8" s="16"/>
      <c r="D8" s="1">
        <v>5900.68</v>
      </c>
      <c r="E8" s="1">
        <v>5275.68</v>
      </c>
      <c r="F8" s="1">
        <v>5276</v>
      </c>
      <c r="G8" s="1">
        <v>5276</v>
      </c>
      <c r="H8" s="1">
        <v>5276</v>
      </c>
      <c r="I8" s="1">
        <v>5276</v>
      </c>
      <c r="J8" s="1">
        <v>5276</v>
      </c>
      <c r="K8" s="1">
        <v>5276</v>
      </c>
      <c r="L8" s="1">
        <v>5276</v>
      </c>
      <c r="M8" s="1">
        <v>5276</v>
      </c>
      <c r="N8" s="1">
        <v>5276</v>
      </c>
      <c r="O8" s="1">
        <v>5276</v>
      </c>
      <c r="P8" s="2">
        <f>SUM(D8:O8)</f>
        <v>63936.36</v>
      </c>
    </row>
    <row r="9" spans="2:19" x14ac:dyDescent="0.35">
      <c r="B9" t="s">
        <v>78</v>
      </c>
      <c r="C9" s="16"/>
      <c r="D9" s="1">
        <v>3770</v>
      </c>
      <c r="E9" s="1">
        <v>3770</v>
      </c>
      <c r="F9" s="1">
        <v>3770</v>
      </c>
      <c r="G9" s="1">
        <v>3770</v>
      </c>
      <c r="H9" s="1">
        <v>3770</v>
      </c>
      <c r="I9" s="1">
        <v>3770</v>
      </c>
      <c r="J9" s="1">
        <v>3770</v>
      </c>
      <c r="K9" s="1">
        <v>3770</v>
      </c>
      <c r="L9" s="1">
        <v>3770</v>
      </c>
      <c r="M9" s="1">
        <v>3770</v>
      </c>
      <c r="N9" s="1">
        <v>3770</v>
      </c>
      <c r="O9" s="1">
        <v>3770</v>
      </c>
      <c r="P9" s="2">
        <f>SUM(D9:O9)</f>
        <v>45240</v>
      </c>
    </row>
    <row r="10" spans="2:19" x14ac:dyDescent="0.35">
      <c r="B10" t="s">
        <v>79</v>
      </c>
      <c r="C10" s="16"/>
      <c r="D10" s="1">
        <v>3875.92</v>
      </c>
      <c r="E10" s="1">
        <v>3875.92</v>
      </c>
      <c r="F10" s="1">
        <v>3875.92</v>
      </c>
      <c r="G10" s="1">
        <v>3875.92</v>
      </c>
      <c r="H10" s="1">
        <v>3875.92</v>
      </c>
      <c r="I10" s="1">
        <v>3875.92</v>
      </c>
      <c r="J10" s="1">
        <v>3875.92</v>
      </c>
      <c r="K10" s="1">
        <v>3875.92</v>
      </c>
      <c r="L10" s="1">
        <v>3875.92</v>
      </c>
      <c r="M10" s="1">
        <v>3875.92</v>
      </c>
      <c r="N10" s="1">
        <v>3875.92</v>
      </c>
      <c r="O10" s="1">
        <v>3875.92</v>
      </c>
      <c r="P10" s="2">
        <f t="shared" ref="P10:P12" si="2">SUM(D10:O10)</f>
        <v>46511.039999999986</v>
      </c>
    </row>
    <row r="11" spans="2:19" x14ac:dyDescent="0.35">
      <c r="B11" t="s">
        <v>80</v>
      </c>
      <c r="C11" s="16"/>
      <c r="D11" s="1">
        <v>2749</v>
      </c>
      <c r="E11" s="1">
        <v>2600</v>
      </c>
      <c r="F11" s="1">
        <v>2600</v>
      </c>
      <c r="G11" s="1">
        <v>5200</v>
      </c>
      <c r="H11" s="1">
        <v>2600</v>
      </c>
      <c r="I11" s="1">
        <v>2600</v>
      </c>
      <c r="J11" s="1">
        <v>2600</v>
      </c>
      <c r="K11" s="1">
        <v>2600</v>
      </c>
      <c r="L11" s="1">
        <v>2600</v>
      </c>
      <c r="M11" s="1">
        <v>2600</v>
      </c>
      <c r="N11" s="1">
        <v>2600</v>
      </c>
      <c r="O11" s="1">
        <v>2600</v>
      </c>
      <c r="P11" s="2">
        <f t="shared" si="2"/>
        <v>33949</v>
      </c>
    </row>
    <row r="12" spans="2:19" x14ac:dyDescent="0.35">
      <c r="B12" t="s">
        <v>81</v>
      </c>
      <c r="C12" s="16"/>
      <c r="D12" s="1"/>
      <c r="E12" s="1"/>
      <c r="F12" s="1"/>
      <c r="G12" s="1">
        <v>2500</v>
      </c>
      <c r="H12" s="1">
        <v>5000</v>
      </c>
      <c r="I12" s="1">
        <v>2500</v>
      </c>
      <c r="J12" s="1"/>
      <c r="K12" s="1"/>
      <c r="L12" s="1"/>
      <c r="M12" s="1"/>
      <c r="N12" s="1"/>
      <c r="O12" s="1"/>
      <c r="P12" s="2">
        <f t="shared" si="2"/>
        <v>10000</v>
      </c>
    </row>
    <row r="13" spans="2:19" x14ac:dyDescent="0.35">
      <c r="C13" s="16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"/>
    </row>
    <row r="14" spans="2:19" x14ac:dyDescent="0.35">
      <c r="B14" s="20" t="s">
        <v>56</v>
      </c>
      <c r="C14" s="21"/>
      <c r="D14" s="22">
        <f>SUM(D8:D13)</f>
        <v>16295.6</v>
      </c>
      <c r="E14" s="22">
        <f t="shared" ref="E14:P14" si="3">SUM(E8:E13)</f>
        <v>15521.6</v>
      </c>
      <c r="F14" s="22">
        <f t="shared" si="3"/>
        <v>15521.92</v>
      </c>
      <c r="G14" s="22">
        <f>SUM(G8:G13)</f>
        <v>20621.919999999998</v>
      </c>
      <c r="H14" s="22">
        <f t="shared" si="3"/>
        <v>20521.919999999998</v>
      </c>
      <c r="I14" s="22">
        <f t="shared" si="3"/>
        <v>18021.919999999998</v>
      </c>
      <c r="J14" s="22">
        <f t="shared" si="3"/>
        <v>15521.92</v>
      </c>
      <c r="K14" s="22">
        <f t="shared" si="3"/>
        <v>15521.92</v>
      </c>
      <c r="L14" s="22">
        <f t="shared" si="3"/>
        <v>15521.92</v>
      </c>
      <c r="M14" s="22">
        <f t="shared" si="3"/>
        <v>15521.92</v>
      </c>
      <c r="N14" s="22">
        <f t="shared" si="3"/>
        <v>15521.92</v>
      </c>
      <c r="O14" s="22">
        <f t="shared" si="3"/>
        <v>15521.92</v>
      </c>
      <c r="P14" s="22">
        <f t="shared" si="3"/>
        <v>199636.4</v>
      </c>
    </row>
    <row r="15" spans="2:19" x14ac:dyDescent="0.35">
      <c r="B15" s="34"/>
      <c r="C15" s="17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</row>
    <row r="16" spans="2:19" x14ac:dyDescent="0.35">
      <c r="B16" t="s">
        <v>14</v>
      </c>
      <c r="C16" s="18">
        <v>0.25</v>
      </c>
      <c r="D16" s="1"/>
      <c r="E16" s="1"/>
      <c r="F16" s="1"/>
      <c r="G16" s="1">
        <v>2198.6</v>
      </c>
      <c r="H16" s="1"/>
      <c r="I16" s="1"/>
      <c r="J16" s="1"/>
      <c r="K16" s="1"/>
      <c r="L16" s="1"/>
      <c r="M16" s="1"/>
      <c r="N16" s="1"/>
      <c r="O16" s="1"/>
      <c r="P16" s="2">
        <f t="shared" ref="P16:P37" si="4">SUM(D16:O16)</f>
        <v>2198.6</v>
      </c>
    </row>
    <row r="17" spans="2:16" x14ac:dyDescent="0.35">
      <c r="B17" t="s">
        <v>15</v>
      </c>
      <c r="C17" s="19" t="s">
        <v>53</v>
      </c>
      <c r="D17" s="1"/>
      <c r="E17" s="1"/>
      <c r="F17" s="1"/>
      <c r="G17" s="1"/>
      <c r="H17" s="1">
        <v>35000</v>
      </c>
      <c r="I17" s="1"/>
      <c r="J17" s="1"/>
      <c r="K17" s="1"/>
      <c r="L17" s="1"/>
      <c r="M17" s="1"/>
      <c r="N17" s="1"/>
      <c r="O17" s="1"/>
      <c r="P17" s="2">
        <f t="shared" si="4"/>
        <v>35000</v>
      </c>
    </row>
    <row r="18" spans="2:16" x14ac:dyDescent="0.35">
      <c r="B18" t="s">
        <v>16</v>
      </c>
      <c r="C18" s="18">
        <v>0.25</v>
      </c>
      <c r="D18" s="1"/>
      <c r="E18" s="1"/>
      <c r="F18" s="1">
        <v>3185</v>
      </c>
      <c r="G18" s="1"/>
      <c r="H18" s="1"/>
      <c r="I18" s="1"/>
      <c r="J18" s="1"/>
      <c r="L18" s="1"/>
      <c r="M18" s="1"/>
      <c r="N18" s="1"/>
      <c r="O18" s="1"/>
      <c r="P18" s="2">
        <f t="shared" si="4"/>
        <v>3185</v>
      </c>
    </row>
    <row r="19" spans="2:16" x14ac:dyDescent="0.35">
      <c r="B19" t="s">
        <v>17</v>
      </c>
      <c r="C19" s="19" t="s">
        <v>53</v>
      </c>
      <c r="D19" s="1"/>
      <c r="E19" s="1">
        <v>2130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2">
        <f t="shared" si="4"/>
        <v>2130</v>
      </c>
    </row>
    <row r="20" spans="2:16" x14ac:dyDescent="0.35">
      <c r="B20" t="s">
        <v>18</v>
      </c>
      <c r="C20" s="19" t="s">
        <v>53</v>
      </c>
      <c r="D20" s="1"/>
      <c r="E20" s="1"/>
      <c r="F20" s="1">
        <v>22762.76</v>
      </c>
      <c r="G20" s="1"/>
      <c r="H20" s="1"/>
      <c r="I20" s="1"/>
      <c r="J20" s="1">
        <v>22762</v>
      </c>
      <c r="K20" s="1"/>
      <c r="L20" s="1">
        <v>23048.59</v>
      </c>
      <c r="M20" s="1">
        <v>23157</v>
      </c>
      <c r="N20" s="1"/>
      <c r="O20" s="1"/>
      <c r="P20" s="2">
        <f t="shared" si="4"/>
        <v>91730.349999999991</v>
      </c>
    </row>
    <row r="21" spans="2:16" x14ac:dyDescent="0.35">
      <c r="B21" t="s">
        <v>19</v>
      </c>
      <c r="C21" s="19" t="s">
        <v>53</v>
      </c>
      <c r="D21" s="1"/>
      <c r="E21" s="1"/>
      <c r="F21" s="1"/>
      <c r="G21" s="1"/>
      <c r="H21" s="1"/>
      <c r="I21" s="1">
        <v>56668</v>
      </c>
      <c r="J21" s="1"/>
      <c r="K21" s="1"/>
      <c r="L21" s="1"/>
      <c r="M21" s="1"/>
      <c r="N21" s="1"/>
      <c r="O21" s="1"/>
      <c r="P21" s="2">
        <f t="shared" si="4"/>
        <v>56668</v>
      </c>
    </row>
    <row r="22" spans="2:16" x14ac:dyDescent="0.35">
      <c r="B22" t="s">
        <v>20</v>
      </c>
      <c r="C22" s="19" t="s">
        <v>53</v>
      </c>
      <c r="D22" s="1"/>
      <c r="E22" s="1"/>
      <c r="G22" s="1">
        <v>1975.91</v>
      </c>
      <c r="H22" s="1"/>
      <c r="I22" s="1"/>
      <c r="J22" s="1"/>
      <c r="K22" s="1"/>
      <c r="L22" s="1"/>
      <c r="M22" s="1"/>
      <c r="N22" s="1"/>
      <c r="O22" s="1"/>
      <c r="P22" s="2">
        <f t="shared" si="4"/>
        <v>1975.91</v>
      </c>
    </row>
    <row r="23" spans="2:16" x14ac:dyDescent="0.35">
      <c r="B23" t="s">
        <v>20</v>
      </c>
      <c r="C23" s="19" t="s">
        <v>53</v>
      </c>
      <c r="D23" s="1"/>
      <c r="E23" s="1"/>
      <c r="G23" s="1">
        <v>1135.8599999999999</v>
      </c>
      <c r="H23" s="1"/>
      <c r="I23" s="1"/>
      <c r="J23" s="1"/>
      <c r="K23" s="1"/>
      <c r="L23" s="1"/>
      <c r="M23" s="1"/>
      <c r="N23" s="1"/>
      <c r="O23" s="1"/>
      <c r="P23" s="2">
        <f t="shared" si="4"/>
        <v>1135.8599999999999</v>
      </c>
    </row>
    <row r="24" spans="2:16" x14ac:dyDescent="0.35">
      <c r="B24" t="s">
        <v>57</v>
      </c>
      <c r="C24" s="19" t="s">
        <v>53</v>
      </c>
      <c r="D24" s="1">
        <v>1710.05</v>
      </c>
      <c r="E24" s="1">
        <v>567.66</v>
      </c>
      <c r="F24" s="1"/>
      <c r="G24" s="1">
        <v>1910.86</v>
      </c>
      <c r="H24" s="1">
        <v>1927.92</v>
      </c>
      <c r="I24" s="1">
        <v>1445.6</v>
      </c>
      <c r="J24" s="1">
        <v>1387.97</v>
      </c>
      <c r="K24" s="1">
        <v>781.58</v>
      </c>
      <c r="L24" s="1">
        <v>1216.6600000000001</v>
      </c>
      <c r="M24" s="1">
        <v>1405.68</v>
      </c>
      <c r="N24" s="1">
        <v>1525.67</v>
      </c>
      <c r="O24" s="1">
        <v>1731.47</v>
      </c>
      <c r="P24" s="2">
        <f t="shared" si="4"/>
        <v>15611.119999999999</v>
      </c>
    </row>
    <row r="25" spans="2:16" x14ac:dyDescent="0.35">
      <c r="B25" t="s">
        <v>21</v>
      </c>
      <c r="C25" s="19" t="s">
        <v>53</v>
      </c>
      <c r="D25" s="1"/>
      <c r="E25" s="1"/>
      <c r="F25" s="1"/>
      <c r="G25" s="1"/>
      <c r="H25" s="1"/>
      <c r="I25" s="1"/>
      <c r="J25" s="1"/>
      <c r="K25" s="1">
        <v>6740</v>
      </c>
      <c r="L25" s="1"/>
      <c r="M25" s="1"/>
      <c r="N25" s="1"/>
      <c r="O25" s="1"/>
      <c r="P25" s="2">
        <f t="shared" si="4"/>
        <v>6740</v>
      </c>
    </row>
    <row r="26" spans="2:16" x14ac:dyDescent="0.35">
      <c r="B26" t="s">
        <v>22</v>
      </c>
      <c r="C26" s="19" t="s">
        <v>53</v>
      </c>
      <c r="D26" s="1"/>
      <c r="E26" s="1"/>
      <c r="F26" s="1"/>
      <c r="G26" s="1"/>
      <c r="H26" s="1"/>
      <c r="I26" s="1">
        <v>5650</v>
      </c>
      <c r="J26" s="1"/>
      <c r="K26" s="1"/>
      <c r="L26" s="1"/>
      <c r="M26" s="1"/>
      <c r="N26" s="1"/>
      <c r="O26" s="1"/>
      <c r="P26" s="2">
        <f t="shared" si="4"/>
        <v>5650</v>
      </c>
    </row>
    <row r="27" spans="2:16" x14ac:dyDescent="0.35">
      <c r="B27" t="s">
        <v>23</v>
      </c>
      <c r="C27" s="18">
        <v>0.25</v>
      </c>
      <c r="D27" s="1"/>
      <c r="E27" s="1"/>
      <c r="F27" s="1"/>
      <c r="G27" s="1"/>
      <c r="H27" s="1">
        <v>429</v>
      </c>
      <c r="I27" s="1"/>
      <c r="J27" s="1"/>
      <c r="K27" s="1"/>
      <c r="L27" s="1"/>
      <c r="M27" s="1"/>
      <c r="N27" s="1"/>
      <c r="O27" s="1"/>
      <c r="P27" s="2">
        <f t="shared" si="4"/>
        <v>429</v>
      </c>
    </row>
    <row r="28" spans="2:16" x14ac:dyDescent="0.35">
      <c r="B28" t="s">
        <v>24</v>
      </c>
      <c r="C28" s="18">
        <v>0.25</v>
      </c>
      <c r="D28" s="1"/>
      <c r="E28" s="1"/>
      <c r="F28" s="1"/>
      <c r="G28" s="1">
        <v>1168</v>
      </c>
      <c r="H28" s="1"/>
      <c r="I28" s="1"/>
      <c r="J28" s="1"/>
      <c r="L28" s="1"/>
      <c r="M28" s="1"/>
      <c r="N28" s="1"/>
      <c r="O28" s="1"/>
      <c r="P28" s="2">
        <f t="shared" si="4"/>
        <v>1168</v>
      </c>
    </row>
    <row r="29" spans="2:16" x14ac:dyDescent="0.35">
      <c r="B29" t="s">
        <v>25</v>
      </c>
      <c r="C29" s="18">
        <v>0.25</v>
      </c>
      <c r="D29" s="1"/>
      <c r="E29" s="1"/>
      <c r="F29" s="1"/>
      <c r="G29" s="1"/>
      <c r="H29" s="1"/>
      <c r="I29" s="1"/>
      <c r="J29" s="1"/>
      <c r="K29" s="1">
        <v>469</v>
      </c>
      <c r="L29" s="1"/>
      <c r="M29" s="1"/>
      <c r="N29" s="1"/>
      <c r="O29" s="1"/>
      <c r="P29" s="2">
        <f>SUM(D29:O29)</f>
        <v>469</v>
      </c>
    </row>
    <row r="30" spans="2:16" x14ac:dyDescent="0.35">
      <c r="B30" t="s">
        <v>26</v>
      </c>
      <c r="C30" s="18">
        <v>0.25</v>
      </c>
      <c r="D30" s="1"/>
      <c r="E30" s="1"/>
      <c r="F30" s="1">
        <v>872</v>
      </c>
      <c r="G30" s="1"/>
      <c r="H30" s="1"/>
      <c r="I30" s="1"/>
      <c r="J30" s="1"/>
      <c r="K30" s="1"/>
      <c r="L30" s="1"/>
      <c r="M30" s="1"/>
      <c r="N30" s="1"/>
      <c r="O30" s="1"/>
      <c r="P30" s="2">
        <f t="shared" si="4"/>
        <v>872</v>
      </c>
    </row>
    <row r="31" spans="2:16" x14ac:dyDescent="0.35">
      <c r="B31" t="s">
        <v>27</v>
      </c>
      <c r="C31" s="18">
        <v>0.25</v>
      </c>
      <c r="D31" s="1"/>
      <c r="E31" s="1"/>
      <c r="F31" s="1">
        <v>1.5</v>
      </c>
      <c r="G31" s="1">
        <v>14</v>
      </c>
      <c r="H31" s="1">
        <v>12.5</v>
      </c>
      <c r="I31" s="1">
        <v>12.5</v>
      </c>
      <c r="J31" s="1">
        <v>8.5</v>
      </c>
      <c r="K31" s="1">
        <v>3</v>
      </c>
      <c r="L31" s="1">
        <v>12.5</v>
      </c>
      <c r="M31" s="1">
        <v>14</v>
      </c>
      <c r="N31" s="1">
        <v>3</v>
      </c>
      <c r="O31" s="1">
        <v>41.5</v>
      </c>
      <c r="P31" s="2">
        <f t="shared" si="4"/>
        <v>123</v>
      </c>
    </row>
    <row r="32" spans="2:16" x14ac:dyDescent="0.35">
      <c r="B32" t="s">
        <v>28</v>
      </c>
      <c r="C32" s="19" t="s">
        <v>53</v>
      </c>
      <c r="D32" s="1"/>
      <c r="E32" s="1"/>
      <c r="F32" s="1">
        <v>4000</v>
      </c>
      <c r="G32" s="1"/>
      <c r="H32" s="1"/>
      <c r="I32" s="1"/>
      <c r="J32" s="1"/>
      <c r="K32" s="1"/>
      <c r="L32" s="1"/>
      <c r="M32" s="1"/>
      <c r="N32" s="1"/>
      <c r="O32" s="1"/>
      <c r="P32" s="2">
        <f t="shared" si="4"/>
        <v>4000</v>
      </c>
    </row>
    <row r="33" spans="2:16" x14ac:dyDescent="0.35">
      <c r="B33" t="s">
        <v>29</v>
      </c>
      <c r="C33" s="19" t="s">
        <v>53</v>
      </c>
      <c r="D33" s="1"/>
      <c r="E33" s="1"/>
      <c r="F33" s="1"/>
      <c r="G33" s="1"/>
      <c r="H33" s="1"/>
      <c r="I33" s="1"/>
      <c r="J33" s="1"/>
      <c r="K33" s="1"/>
      <c r="L33" s="1">
        <v>4000</v>
      </c>
      <c r="M33" s="1"/>
      <c r="N33" s="1"/>
      <c r="O33" s="1"/>
      <c r="P33" s="2">
        <f t="shared" si="4"/>
        <v>4000</v>
      </c>
    </row>
    <row r="34" spans="2:16" x14ac:dyDescent="0.35">
      <c r="B34" t="s">
        <v>30</v>
      </c>
      <c r="C34" s="19" t="s">
        <v>53</v>
      </c>
      <c r="D34" s="1"/>
      <c r="E34" s="1"/>
      <c r="G34" s="6"/>
      <c r="H34" s="1"/>
      <c r="I34" s="1"/>
      <c r="J34" s="1"/>
      <c r="K34" s="1"/>
      <c r="L34" s="1">
        <v>5000</v>
      </c>
      <c r="M34" s="1"/>
      <c r="N34" s="1"/>
      <c r="O34" s="1"/>
      <c r="P34" s="2">
        <f t="shared" si="4"/>
        <v>5000</v>
      </c>
    </row>
    <row r="35" spans="2:16" x14ac:dyDescent="0.35">
      <c r="C35" s="18"/>
      <c r="D35" s="1"/>
      <c r="E35" s="1"/>
      <c r="G35" s="6"/>
      <c r="H35" s="1"/>
      <c r="I35" s="1"/>
      <c r="J35" s="1"/>
      <c r="K35" s="1"/>
      <c r="L35" s="1"/>
      <c r="M35" s="1"/>
      <c r="N35" s="1"/>
      <c r="O35" s="1"/>
      <c r="P35" s="2"/>
    </row>
    <row r="36" spans="2:16" x14ac:dyDescent="0.35">
      <c r="B36" s="20" t="s">
        <v>54</v>
      </c>
      <c r="C36" s="37"/>
      <c r="D36" s="22">
        <f t="shared" ref="D36:P36" si="5">SUM(D15:D35)</f>
        <v>1710.05</v>
      </c>
      <c r="E36" s="22">
        <f t="shared" si="5"/>
        <v>2697.66</v>
      </c>
      <c r="F36" s="22">
        <f t="shared" si="5"/>
        <v>30821.26</v>
      </c>
      <c r="G36" s="22">
        <f t="shared" si="5"/>
        <v>8403.23</v>
      </c>
      <c r="H36" s="22">
        <f t="shared" si="5"/>
        <v>37369.42</v>
      </c>
      <c r="I36" s="22">
        <f t="shared" si="5"/>
        <v>63776.1</v>
      </c>
      <c r="J36" s="22">
        <f t="shared" si="5"/>
        <v>24158.47</v>
      </c>
      <c r="K36" s="22">
        <f t="shared" si="5"/>
        <v>7993.58</v>
      </c>
      <c r="L36" s="22">
        <f t="shared" si="5"/>
        <v>33277.75</v>
      </c>
      <c r="M36" s="22">
        <f t="shared" si="5"/>
        <v>24576.68</v>
      </c>
      <c r="N36" s="22">
        <f t="shared" si="5"/>
        <v>1528.67</v>
      </c>
      <c r="O36" s="22">
        <f t="shared" si="5"/>
        <v>1772.97</v>
      </c>
      <c r="P36" s="22">
        <f t="shared" si="5"/>
        <v>238085.83999999997</v>
      </c>
    </row>
    <row r="37" spans="2:16" x14ac:dyDescent="0.35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">
        <f t="shared" si="4"/>
        <v>0</v>
      </c>
    </row>
    <row r="38" spans="2:16" x14ac:dyDescent="0.35">
      <c r="B38" t="s">
        <v>55</v>
      </c>
      <c r="D38" s="2">
        <f>+D6+D39</f>
        <v>90640</v>
      </c>
      <c r="E38" s="4">
        <f>+D38+E39</f>
        <v>103463.94</v>
      </c>
      <c r="F38" s="4">
        <f>(F6+F9+F10+F11+F8)-F20-F18-F32-F30-F31</f>
        <v>88164.6</v>
      </c>
      <c r="G38" s="4">
        <f>(G6+G9+G10+G11+G8+G12)-G16-G24-G28-G22-G37-G23-G31</f>
        <v>100383.29</v>
      </c>
      <c r="H38" s="4">
        <f>(H6+H9+H10+H11+H8+H12)-H24-H31-H27-H17</f>
        <v>83535.789999999994</v>
      </c>
      <c r="I38" s="4">
        <f t="shared" ref="I38:O38" si="6">+H38+I14-I36</f>
        <v>37781.609999999993</v>
      </c>
      <c r="J38" s="4">
        <f t="shared" si="6"/>
        <v>29145.05999999999</v>
      </c>
      <c r="K38" s="4">
        <f t="shared" si="6"/>
        <v>36673.399999999987</v>
      </c>
      <c r="L38" s="4">
        <f t="shared" si="6"/>
        <v>18917.569999999985</v>
      </c>
      <c r="M38" s="4">
        <f t="shared" si="6"/>
        <v>9862.8099999999831</v>
      </c>
      <c r="N38" s="4">
        <f t="shared" si="6"/>
        <v>23856.059999999983</v>
      </c>
      <c r="O38" s="4">
        <f t="shared" si="6"/>
        <v>37605.00999999998</v>
      </c>
    </row>
    <row r="39" spans="2:16" s="158" customFormat="1" x14ac:dyDescent="0.35">
      <c r="B39" s="158" t="s">
        <v>31</v>
      </c>
      <c r="D39" s="158">
        <f>+D14-D36</f>
        <v>14585.550000000001</v>
      </c>
      <c r="E39" s="158">
        <f t="shared" ref="E39:O39" si="7">+E14-E36</f>
        <v>12823.94</v>
      </c>
      <c r="F39" s="158">
        <f t="shared" si="7"/>
        <v>-15299.339999999998</v>
      </c>
      <c r="G39" s="158">
        <f t="shared" si="7"/>
        <v>12218.689999999999</v>
      </c>
      <c r="H39" s="158">
        <f t="shared" si="7"/>
        <v>-16847.5</v>
      </c>
      <c r="I39" s="158">
        <f t="shared" si="7"/>
        <v>-45754.18</v>
      </c>
      <c r="J39" s="158">
        <f t="shared" si="7"/>
        <v>-8636.5500000000011</v>
      </c>
      <c r="K39" s="158">
        <f t="shared" si="7"/>
        <v>7528.34</v>
      </c>
      <c r="L39" s="158">
        <f t="shared" si="7"/>
        <v>-17755.830000000002</v>
      </c>
      <c r="M39" s="158">
        <f t="shared" si="7"/>
        <v>-9054.76</v>
      </c>
      <c r="N39" s="158">
        <f t="shared" si="7"/>
        <v>13993.25</v>
      </c>
      <c r="O39" s="158">
        <f t="shared" si="7"/>
        <v>13748.95</v>
      </c>
      <c r="P39" s="158">
        <f>SUM(E39:O39)</f>
        <v>-53034.990000000005</v>
      </c>
    </row>
    <row r="41" spans="2:16" x14ac:dyDescent="0.35">
      <c r="E41" s="2"/>
    </row>
    <row r="42" spans="2:16" ht="40.5" customHeight="1" x14ac:dyDescent="0.35">
      <c r="B42" s="49"/>
      <c r="C42" s="50"/>
      <c r="D42" s="51">
        <v>2024</v>
      </c>
      <c r="E42" s="52"/>
      <c r="F42" s="53" t="s">
        <v>104</v>
      </c>
      <c r="G42" s="71" t="s">
        <v>34</v>
      </c>
      <c r="H42" s="53" t="s">
        <v>35</v>
      </c>
      <c r="I42" s="67" t="s">
        <v>103</v>
      </c>
      <c r="O42" s="2"/>
    </row>
    <row r="43" spans="2:16" x14ac:dyDescent="0.35">
      <c r="B43" s="60" t="s">
        <v>77</v>
      </c>
      <c r="C43" s="54"/>
      <c r="D43" s="7">
        <f>+P8</f>
        <v>63936.36</v>
      </c>
      <c r="E43" s="7"/>
      <c r="F43" s="55">
        <f>SUM(D43:E43)</f>
        <v>63936.36</v>
      </c>
      <c r="G43" s="47">
        <f>5276*12</f>
        <v>63312</v>
      </c>
      <c r="H43" s="72"/>
      <c r="I43" s="68">
        <f>+L64</f>
        <v>77133.070769230777</v>
      </c>
    </row>
    <row r="44" spans="2:16" x14ac:dyDescent="0.35">
      <c r="B44" s="60" t="s">
        <v>78</v>
      </c>
      <c r="C44" s="54"/>
      <c r="D44" s="7">
        <f>+P9</f>
        <v>45240</v>
      </c>
      <c r="E44" s="7"/>
      <c r="F44" s="55">
        <f>SUM(D44:E44)</f>
        <v>45240</v>
      </c>
      <c r="G44" s="47">
        <f>3770*12</f>
        <v>45240</v>
      </c>
      <c r="H44" s="72"/>
      <c r="I44" s="68">
        <f>+M64</f>
        <v>52563.706153846149</v>
      </c>
    </row>
    <row r="45" spans="2:16" ht="15" thickBot="1" x14ac:dyDescent="0.4">
      <c r="B45" s="60" t="s">
        <v>79</v>
      </c>
      <c r="C45" s="54"/>
      <c r="D45" s="7">
        <f>+P10</f>
        <v>46511.039999999986</v>
      </c>
      <c r="E45" s="7"/>
      <c r="F45" s="55">
        <f t="shared" ref="F45:F46" si="8">SUM(D45:E45)</f>
        <v>46511.039999999986</v>
      </c>
      <c r="G45" s="47">
        <f>3875.92*12</f>
        <v>46511.040000000001</v>
      </c>
      <c r="H45" s="72"/>
      <c r="I45" s="68">
        <f>+N64</f>
        <v>54429.733846153853</v>
      </c>
    </row>
    <row r="46" spans="2:16" ht="15.5" x14ac:dyDescent="0.35">
      <c r="B46" s="60" t="s">
        <v>80</v>
      </c>
      <c r="C46" s="54"/>
      <c r="D46" s="7">
        <f>+P11</f>
        <v>33949</v>
      </c>
      <c r="E46" s="7"/>
      <c r="F46" s="55">
        <f t="shared" si="8"/>
        <v>33949</v>
      </c>
      <c r="G46" s="47">
        <f>2600*12</f>
        <v>31200</v>
      </c>
      <c r="H46" s="72"/>
      <c r="I46" s="69">
        <f>+O64</f>
        <v>37946.489230769235</v>
      </c>
      <c r="J46" s="102"/>
      <c r="K46" s="103"/>
      <c r="L46" s="104" t="s">
        <v>66</v>
      </c>
      <c r="M46" s="105"/>
      <c r="N46" s="105"/>
      <c r="O46" s="106"/>
    </row>
    <row r="47" spans="2:16" x14ac:dyDescent="0.35">
      <c r="B47" s="60" t="s">
        <v>81</v>
      </c>
      <c r="C47" s="13"/>
      <c r="D47" s="12">
        <f>+P12</f>
        <v>10000</v>
      </c>
      <c r="E47" s="41"/>
      <c r="F47" s="57">
        <f>SUM(D47:E47)</f>
        <v>10000</v>
      </c>
      <c r="G47" s="13"/>
      <c r="H47" s="73">
        <v>10000</v>
      </c>
      <c r="I47" s="101"/>
      <c r="J47" s="89"/>
      <c r="K47" s="107"/>
      <c r="L47" s="126" t="s">
        <v>36</v>
      </c>
      <c r="M47" s="127" t="s">
        <v>37</v>
      </c>
      <c r="N47" s="127" t="s">
        <v>38</v>
      </c>
      <c r="O47" s="128" t="s">
        <v>39</v>
      </c>
    </row>
    <row r="48" spans="2:16" x14ac:dyDescent="0.35">
      <c r="B48" s="76" t="s">
        <v>13</v>
      </c>
      <c r="C48" s="83"/>
      <c r="D48" s="78">
        <f t="shared" ref="D48:I48" si="9">SUM(D43:D47)</f>
        <v>199636.4</v>
      </c>
      <c r="E48" s="78"/>
      <c r="F48" s="79">
        <f t="shared" si="9"/>
        <v>199636.4</v>
      </c>
      <c r="G48" s="84">
        <f t="shared" si="9"/>
        <v>186263.04000000001</v>
      </c>
      <c r="H48" s="85">
        <f t="shared" si="9"/>
        <v>10000</v>
      </c>
      <c r="I48" s="82">
        <f t="shared" si="9"/>
        <v>222073</v>
      </c>
      <c r="J48" s="108"/>
      <c r="K48" s="109" t="s">
        <v>61</v>
      </c>
      <c r="L48" s="63">
        <f>+D5</f>
        <v>0.3569230769230769</v>
      </c>
      <c r="M48" s="45">
        <f>+E5</f>
        <v>0.23538461538461539</v>
      </c>
      <c r="N48" s="45">
        <f>+F5</f>
        <v>0.24461538461538462</v>
      </c>
      <c r="O48" s="110">
        <f>+G5</f>
        <v>0.16307692307692306</v>
      </c>
    </row>
    <row r="49" spans="2:16" x14ac:dyDescent="0.35">
      <c r="B49" s="58" t="s">
        <v>58</v>
      </c>
      <c r="C49" s="14" t="s">
        <v>53</v>
      </c>
      <c r="D49" s="7">
        <f>+P20</f>
        <v>91730.349999999991</v>
      </c>
      <c r="E49" s="7"/>
      <c r="F49" s="59">
        <f t="shared" ref="F49:F62" si="10">+E49+D49</f>
        <v>91730.349999999991</v>
      </c>
      <c r="G49" s="46">
        <v>80000</v>
      </c>
      <c r="H49" s="74">
        <f>+F49-G49</f>
        <v>11730.349999999991</v>
      </c>
      <c r="I49" s="69">
        <v>101000</v>
      </c>
      <c r="J49" s="89"/>
      <c r="K49" s="107"/>
      <c r="L49" s="64">
        <f t="shared" ref="L49:L54" si="11">+I49*L$48</f>
        <v>36049.230769230766</v>
      </c>
      <c r="M49" s="43">
        <f t="shared" ref="M49:M54" si="12">+M$48*I49</f>
        <v>23773.846153846152</v>
      </c>
      <c r="N49" s="43">
        <f t="shared" ref="N49:N54" si="13">+N$48*I49</f>
        <v>24706.153846153848</v>
      </c>
      <c r="O49" s="111">
        <f t="shared" ref="O49:O54" si="14">+O$48*I49</f>
        <v>16470.76923076923</v>
      </c>
    </row>
    <row r="50" spans="2:16" x14ac:dyDescent="0.35">
      <c r="B50" s="60" t="s">
        <v>40</v>
      </c>
      <c r="C50" s="14" t="s">
        <v>53</v>
      </c>
      <c r="D50" s="7">
        <f>+P21</f>
        <v>56668</v>
      </c>
      <c r="E50" s="8"/>
      <c r="F50" s="59">
        <f t="shared" si="10"/>
        <v>56668</v>
      </c>
      <c r="G50" s="46">
        <v>53000</v>
      </c>
      <c r="H50" s="74">
        <f t="shared" ref="H50:H63" si="15">+F50-G50</f>
        <v>3668</v>
      </c>
      <c r="I50" s="69">
        <v>63153</v>
      </c>
      <c r="J50" s="89"/>
      <c r="K50" s="107"/>
      <c r="L50" s="65">
        <f t="shared" si="11"/>
        <v>22540.763076923075</v>
      </c>
      <c r="M50" s="7">
        <f t="shared" si="12"/>
        <v>14865.244615384616</v>
      </c>
      <c r="N50" s="7">
        <f t="shared" si="13"/>
        <v>15448.195384615385</v>
      </c>
      <c r="O50" s="112">
        <f t="shared" si="14"/>
        <v>10298.796923076923</v>
      </c>
    </row>
    <row r="51" spans="2:16" x14ac:dyDescent="0.35">
      <c r="B51" s="60" t="s">
        <v>41</v>
      </c>
      <c r="C51" s="14" t="s">
        <v>53</v>
      </c>
      <c r="D51" s="7">
        <f>+P22+P23+P24</f>
        <v>18722.89</v>
      </c>
      <c r="E51" s="8"/>
      <c r="F51" s="59">
        <f t="shared" si="10"/>
        <v>18722.89</v>
      </c>
      <c r="G51" s="46">
        <v>25000</v>
      </c>
      <c r="H51" s="74">
        <f t="shared" si="15"/>
        <v>-6277.1100000000006</v>
      </c>
      <c r="I51" s="69">
        <v>25000</v>
      </c>
      <c r="J51" s="89"/>
      <c r="K51" s="107"/>
      <c r="L51" s="65">
        <f t="shared" si="11"/>
        <v>8923.076923076922</v>
      </c>
      <c r="M51" s="7">
        <f t="shared" si="12"/>
        <v>5884.6153846153848</v>
      </c>
      <c r="N51" s="7">
        <f t="shared" si="13"/>
        <v>6115.3846153846152</v>
      </c>
      <c r="O51" s="112">
        <f t="shared" si="14"/>
        <v>4076.9230769230767</v>
      </c>
    </row>
    <row r="52" spans="2:16" x14ac:dyDescent="0.35">
      <c r="B52" s="60" t="s">
        <v>42</v>
      </c>
      <c r="C52" s="14" t="s">
        <v>53</v>
      </c>
      <c r="D52" s="7">
        <f>+P28+P29+P30</f>
        <v>2509</v>
      </c>
      <c r="E52" s="8"/>
      <c r="F52" s="59">
        <f t="shared" si="10"/>
        <v>2509</v>
      </c>
      <c r="G52" s="46">
        <v>5000</v>
      </c>
      <c r="H52" s="74">
        <f t="shared" si="15"/>
        <v>-2491</v>
      </c>
      <c r="I52" s="69">
        <v>4000</v>
      </c>
      <c r="J52" s="89"/>
      <c r="K52" s="107"/>
      <c r="L52" s="65">
        <f t="shared" si="11"/>
        <v>1427.6923076923076</v>
      </c>
      <c r="M52" s="7">
        <f t="shared" si="12"/>
        <v>941.53846153846155</v>
      </c>
      <c r="N52" s="7">
        <f t="shared" si="13"/>
        <v>978.46153846153845</v>
      </c>
      <c r="O52" s="112">
        <f t="shared" si="14"/>
        <v>652.30769230769226</v>
      </c>
    </row>
    <row r="53" spans="2:16" x14ac:dyDescent="0.35">
      <c r="B53" s="58" t="s">
        <v>62</v>
      </c>
      <c r="C53" s="14" t="s">
        <v>53</v>
      </c>
      <c r="D53" s="7">
        <f>+P17+P26</f>
        <v>40650</v>
      </c>
      <c r="E53" s="8"/>
      <c r="F53" s="59">
        <f>+E53+D53</f>
        <v>40650</v>
      </c>
      <c r="G53" s="46"/>
      <c r="H53" s="74">
        <f>+F53-G53</f>
        <v>40650</v>
      </c>
      <c r="I53" s="69">
        <v>0</v>
      </c>
      <c r="J53" s="89"/>
      <c r="K53" s="107"/>
      <c r="L53" s="65">
        <f t="shared" si="11"/>
        <v>0</v>
      </c>
      <c r="M53" s="7">
        <f t="shared" si="12"/>
        <v>0</v>
      </c>
      <c r="N53" s="7">
        <f t="shared" si="13"/>
        <v>0</v>
      </c>
      <c r="O53" s="112">
        <f t="shared" si="14"/>
        <v>0</v>
      </c>
    </row>
    <row r="54" spans="2:16" x14ac:dyDescent="0.35">
      <c r="B54" s="58" t="s">
        <v>59</v>
      </c>
      <c r="C54" s="14" t="s">
        <v>53</v>
      </c>
      <c r="D54" s="7">
        <f>+P25</f>
        <v>6740</v>
      </c>
      <c r="E54" s="8"/>
      <c r="F54" s="59">
        <f>+E54+D54</f>
        <v>6740</v>
      </c>
      <c r="G54" s="46"/>
      <c r="H54" s="74">
        <f>+F54-G54</f>
        <v>6740</v>
      </c>
      <c r="I54" s="69">
        <v>0</v>
      </c>
      <c r="J54" s="89"/>
      <c r="K54" s="107"/>
      <c r="L54" s="65">
        <f t="shared" si="11"/>
        <v>0</v>
      </c>
      <c r="M54" s="7">
        <f t="shared" si="12"/>
        <v>0</v>
      </c>
      <c r="N54" s="7">
        <f t="shared" si="13"/>
        <v>0</v>
      </c>
      <c r="O54" s="112">
        <f t="shared" si="14"/>
        <v>0</v>
      </c>
    </row>
    <row r="55" spans="2:16" x14ac:dyDescent="0.35">
      <c r="B55" s="60" t="s">
        <v>43</v>
      </c>
      <c r="C55" s="44">
        <v>0.25</v>
      </c>
      <c r="D55" s="7">
        <f>+P27+P16</f>
        <v>2627.6</v>
      </c>
      <c r="E55" s="8"/>
      <c r="F55" s="59">
        <f t="shared" si="10"/>
        <v>2627.6</v>
      </c>
      <c r="G55" s="46">
        <v>5000</v>
      </c>
      <c r="H55" s="74">
        <f t="shared" si="15"/>
        <v>-2372.4</v>
      </c>
      <c r="I55" s="69">
        <v>2000</v>
      </c>
      <c r="J55" s="89"/>
      <c r="K55" s="107"/>
      <c r="L55" s="65">
        <f t="shared" ref="L55:O62" si="16">0.25*$I55</f>
        <v>500</v>
      </c>
      <c r="M55" s="7">
        <f t="shared" si="16"/>
        <v>500</v>
      </c>
      <c r="N55" s="7">
        <f t="shared" si="16"/>
        <v>500</v>
      </c>
      <c r="O55" s="112">
        <f t="shared" si="16"/>
        <v>500</v>
      </c>
    </row>
    <row r="56" spans="2:16" x14ac:dyDescent="0.35">
      <c r="B56" s="60" t="s">
        <v>44</v>
      </c>
      <c r="C56" s="145" t="s">
        <v>53</v>
      </c>
      <c r="D56" s="7">
        <f>+P19</f>
        <v>2130</v>
      </c>
      <c r="E56" s="8"/>
      <c r="F56" s="59">
        <f t="shared" si="10"/>
        <v>2130</v>
      </c>
      <c r="G56" s="46">
        <v>2000</v>
      </c>
      <c r="H56" s="74">
        <f t="shared" si="15"/>
        <v>130</v>
      </c>
      <c r="I56" s="69">
        <v>2300</v>
      </c>
      <c r="J56" s="89"/>
      <c r="K56" s="107"/>
      <c r="L56" s="65">
        <f>0.25*$I56</f>
        <v>575</v>
      </c>
      <c r="M56" s="7">
        <f t="shared" si="16"/>
        <v>575</v>
      </c>
      <c r="N56" s="7">
        <f t="shared" si="16"/>
        <v>575</v>
      </c>
      <c r="O56" s="112">
        <f t="shared" si="16"/>
        <v>575</v>
      </c>
    </row>
    <row r="57" spans="2:16" x14ac:dyDescent="0.35">
      <c r="B57" s="60" t="s">
        <v>45</v>
      </c>
      <c r="C57" s="145" t="s">
        <v>53</v>
      </c>
      <c r="D57" s="7">
        <f>+P34</f>
        <v>5000</v>
      </c>
      <c r="E57" s="8"/>
      <c r="F57" s="59">
        <f t="shared" si="10"/>
        <v>5000</v>
      </c>
      <c r="G57" s="46">
        <v>5000</v>
      </c>
      <c r="H57" s="74">
        <f t="shared" si="15"/>
        <v>0</v>
      </c>
      <c r="I57" s="69">
        <v>5000</v>
      </c>
      <c r="J57" s="89"/>
      <c r="K57" s="107"/>
      <c r="L57" s="65">
        <f>+$I57*L$48</f>
        <v>1784.6153846153845</v>
      </c>
      <c r="M57" s="7">
        <f>+$I57*M$48</f>
        <v>1176.9230769230769</v>
      </c>
      <c r="N57" s="7">
        <f>+$I57*N$48</f>
        <v>1223.0769230769231</v>
      </c>
      <c r="O57" s="112">
        <f>+$I57*O$48</f>
        <v>815.38461538461536</v>
      </c>
    </row>
    <row r="58" spans="2:16" x14ac:dyDescent="0.35">
      <c r="B58" s="60" t="s">
        <v>46</v>
      </c>
      <c r="C58" s="145" t="s">
        <v>53</v>
      </c>
      <c r="D58" s="7">
        <f>+P33</f>
        <v>4000</v>
      </c>
      <c r="E58" s="8"/>
      <c r="F58" s="59">
        <f t="shared" si="10"/>
        <v>4000</v>
      </c>
      <c r="G58" s="46">
        <v>4000</v>
      </c>
      <c r="H58" s="74">
        <f t="shared" si="15"/>
        <v>0</v>
      </c>
      <c r="I58" s="69">
        <v>4000</v>
      </c>
      <c r="J58" s="89"/>
      <c r="K58" s="107"/>
      <c r="L58" s="65">
        <f t="shared" ref="L58:O59" si="17">+$I58*L$48</f>
        <v>1427.6923076923076</v>
      </c>
      <c r="M58" s="7">
        <f t="shared" si="17"/>
        <v>941.53846153846155</v>
      </c>
      <c r="N58" s="7">
        <f t="shared" si="17"/>
        <v>978.46153846153845</v>
      </c>
      <c r="O58" s="112">
        <f t="shared" si="17"/>
        <v>652.30769230769226</v>
      </c>
    </row>
    <row r="59" spans="2:16" x14ac:dyDescent="0.35">
      <c r="B59" s="60" t="s">
        <v>47</v>
      </c>
      <c r="C59" s="145" t="s">
        <v>53</v>
      </c>
      <c r="D59" s="7">
        <f>+P32</f>
        <v>4000</v>
      </c>
      <c r="E59" s="8"/>
      <c r="F59" s="59">
        <f t="shared" si="10"/>
        <v>4000</v>
      </c>
      <c r="G59" s="47"/>
      <c r="H59" s="74">
        <f t="shared" si="15"/>
        <v>4000</v>
      </c>
      <c r="I59" s="69">
        <v>0</v>
      </c>
      <c r="J59" s="89"/>
      <c r="K59" s="107"/>
      <c r="L59" s="65">
        <f t="shared" si="17"/>
        <v>0</v>
      </c>
      <c r="M59" s="7">
        <f t="shared" si="17"/>
        <v>0</v>
      </c>
      <c r="N59" s="7">
        <f t="shared" si="17"/>
        <v>0</v>
      </c>
      <c r="O59" s="112">
        <f t="shared" si="17"/>
        <v>0</v>
      </c>
    </row>
    <row r="60" spans="2:16" x14ac:dyDescent="0.35">
      <c r="B60" s="60" t="s">
        <v>100</v>
      </c>
      <c r="C60" s="15">
        <v>0.25</v>
      </c>
      <c r="D60" s="39">
        <v>0</v>
      </c>
      <c r="E60" s="8"/>
      <c r="F60" s="59">
        <f t="shared" si="10"/>
        <v>0</v>
      </c>
      <c r="G60" s="47">
        <v>1000</v>
      </c>
      <c r="H60" s="74">
        <f t="shared" si="15"/>
        <v>-1000</v>
      </c>
      <c r="I60" s="69">
        <v>7000</v>
      </c>
      <c r="J60" s="89"/>
      <c r="K60" s="107"/>
      <c r="L60" s="65">
        <f t="shared" si="16"/>
        <v>1750</v>
      </c>
      <c r="M60" s="7">
        <f t="shared" si="16"/>
        <v>1750</v>
      </c>
      <c r="N60" s="7">
        <f t="shared" si="16"/>
        <v>1750</v>
      </c>
      <c r="O60" s="112">
        <f t="shared" si="16"/>
        <v>1750</v>
      </c>
    </row>
    <row r="61" spans="2:16" x14ac:dyDescent="0.35">
      <c r="B61" s="60" t="s">
        <v>48</v>
      </c>
      <c r="C61" s="15">
        <v>0.25</v>
      </c>
      <c r="D61" s="39">
        <v>0</v>
      </c>
      <c r="E61" s="8"/>
      <c r="F61" s="59">
        <f t="shared" si="10"/>
        <v>0</v>
      </c>
      <c r="G61" s="47"/>
      <c r="H61" s="74">
        <f t="shared" si="15"/>
        <v>0</v>
      </c>
      <c r="I61" s="69">
        <v>5000</v>
      </c>
      <c r="J61" s="89"/>
      <c r="K61" s="107"/>
      <c r="L61" s="65">
        <f t="shared" si="16"/>
        <v>1250</v>
      </c>
      <c r="M61" s="7">
        <f t="shared" si="16"/>
        <v>1250</v>
      </c>
      <c r="N61" s="7">
        <f t="shared" si="16"/>
        <v>1250</v>
      </c>
      <c r="O61" s="112">
        <f t="shared" si="16"/>
        <v>1250</v>
      </c>
    </row>
    <row r="62" spans="2:16" x14ac:dyDescent="0.35">
      <c r="B62" s="60" t="s">
        <v>49</v>
      </c>
      <c r="C62" s="15">
        <v>0.25</v>
      </c>
      <c r="D62" s="39">
        <f>+P18</f>
        <v>3185</v>
      </c>
      <c r="E62" s="8"/>
      <c r="F62" s="59">
        <f t="shared" si="10"/>
        <v>3185</v>
      </c>
      <c r="G62" s="47"/>
      <c r="H62" s="74">
        <f t="shared" si="15"/>
        <v>3185</v>
      </c>
      <c r="I62" s="69">
        <v>3500</v>
      </c>
      <c r="J62" s="89"/>
      <c r="K62" s="107"/>
      <c r="L62" s="65">
        <f t="shared" si="16"/>
        <v>875</v>
      </c>
      <c r="M62" s="7">
        <f t="shared" si="16"/>
        <v>875</v>
      </c>
      <c r="N62" s="7">
        <f t="shared" si="16"/>
        <v>875</v>
      </c>
      <c r="O62" s="112">
        <f t="shared" si="16"/>
        <v>875</v>
      </c>
    </row>
    <row r="63" spans="2:16" x14ac:dyDescent="0.35">
      <c r="B63" s="56" t="s">
        <v>27</v>
      </c>
      <c r="C63" s="40">
        <v>0.25</v>
      </c>
      <c r="D63" s="41">
        <f>+P31</f>
        <v>123</v>
      </c>
      <c r="E63" s="41"/>
      <c r="F63" s="57">
        <f>+E63+D63</f>
        <v>123</v>
      </c>
      <c r="G63" s="48"/>
      <c r="H63" s="75">
        <f t="shared" si="15"/>
        <v>123</v>
      </c>
      <c r="I63" s="70">
        <v>120</v>
      </c>
      <c r="J63" s="89"/>
      <c r="K63" s="107"/>
      <c r="L63" s="66">
        <f>0.25*$I63</f>
        <v>30</v>
      </c>
      <c r="M63" s="11">
        <f>0.25*$I63</f>
        <v>30</v>
      </c>
      <c r="N63" s="11">
        <f t="shared" ref="N63:O63" si="18">0.25*$I63</f>
        <v>30</v>
      </c>
      <c r="O63" s="113">
        <f t="shared" si="18"/>
        <v>30</v>
      </c>
    </row>
    <row r="64" spans="2:16" x14ac:dyDescent="0.35">
      <c r="B64" s="76" t="s">
        <v>50</v>
      </c>
      <c r="C64" s="77"/>
      <c r="D64" s="78">
        <f t="shared" ref="D64:I64" si="19">SUM(D49:D63)</f>
        <v>238085.84</v>
      </c>
      <c r="E64" s="78"/>
      <c r="F64" s="79">
        <f t="shared" si="19"/>
        <v>238085.84</v>
      </c>
      <c r="G64" s="80">
        <f t="shared" si="19"/>
        <v>180000</v>
      </c>
      <c r="H64" s="81">
        <f t="shared" si="19"/>
        <v>58085.839999999989</v>
      </c>
      <c r="I64" s="82">
        <f t="shared" si="19"/>
        <v>222073</v>
      </c>
      <c r="J64" s="89"/>
      <c r="K64" s="107"/>
      <c r="L64" s="62">
        <f>SUM(L49:L63)</f>
        <v>77133.070769230777</v>
      </c>
      <c r="M64" s="42">
        <f>SUM(M49:M63)</f>
        <v>52563.706153846149</v>
      </c>
      <c r="N64" s="42">
        <f>SUM(N49:N63)</f>
        <v>54429.733846153853</v>
      </c>
      <c r="O64" s="114">
        <f>SUM(O49:O63)</f>
        <v>37946.489230769235</v>
      </c>
      <c r="P64" s="5"/>
    </row>
    <row r="65" spans="2:20" s="158" customFormat="1" ht="15" thickBot="1" x14ac:dyDescent="0.4">
      <c r="B65" s="150" t="s">
        <v>31</v>
      </c>
      <c r="C65" s="151"/>
      <c r="D65" s="152">
        <f t="shared" ref="D65:I65" si="20">+D48-D64</f>
        <v>-38449.440000000002</v>
      </c>
      <c r="E65" s="152"/>
      <c r="F65" s="153">
        <f t="shared" si="20"/>
        <v>-38449.440000000002</v>
      </c>
      <c r="G65" s="152">
        <f t="shared" si="20"/>
        <v>6263.0400000000081</v>
      </c>
      <c r="H65" s="154">
        <f t="shared" si="20"/>
        <v>-48085.839999999989</v>
      </c>
      <c r="I65" s="169">
        <f t="shared" si="20"/>
        <v>0</v>
      </c>
      <c r="J65" s="171" t="s">
        <v>75</v>
      </c>
      <c r="K65" s="172"/>
      <c r="L65" s="155">
        <f>+L64/12</f>
        <v>6427.7558974358981</v>
      </c>
      <c r="M65" s="156">
        <f>+M64/12</f>
        <v>4380.3088461538455</v>
      </c>
      <c r="N65" s="156">
        <f>+N64/12</f>
        <v>4535.8111538461544</v>
      </c>
      <c r="O65" s="157">
        <f>+O64/12</f>
        <v>3162.2074358974364</v>
      </c>
    </row>
    <row r="66" spans="2:20" ht="15" thickBot="1" x14ac:dyDescent="0.4">
      <c r="J66" s="173" t="s">
        <v>72</v>
      </c>
      <c r="K66" s="174"/>
      <c r="L66" s="115">
        <f>+L64/$I64</f>
        <v>0.34733205193441247</v>
      </c>
      <c r="M66" s="116">
        <f>+M64/$I64</f>
        <v>0.2366956188003321</v>
      </c>
      <c r="N66" s="116">
        <f>+N64/$I64</f>
        <v>0.24509838587380661</v>
      </c>
      <c r="O66" s="117">
        <f>+O64/$I64</f>
        <v>0.17087394339144893</v>
      </c>
    </row>
    <row r="67" spans="2:20" x14ac:dyDescent="0.35">
      <c r="B67" s="107" t="s">
        <v>83</v>
      </c>
      <c r="F67" s="2">
        <f>+F49+F50+F51+F52+F53+F54</f>
        <v>217020.24</v>
      </c>
      <c r="H67" s="1"/>
    </row>
    <row r="68" spans="2:20" x14ac:dyDescent="0.35">
      <c r="B68" t="s">
        <v>74</v>
      </c>
      <c r="F68" s="2">
        <f>+F55+F60+F61+F62+F63+F57+F58+F59+F56</f>
        <v>21065.599999999999</v>
      </c>
      <c r="H68" s="1"/>
    </row>
    <row r="69" spans="2:20" ht="15" thickBot="1" x14ac:dyDescent="0.4">
      <c r="B69" s="100" t="s">
        <v>70</v>
      </c>
      <c r="C69" s="100"/>
      <c r="D69" s="100"/>
      <c r="E69" s="100"/>
      <c r="F69" s="123">
        <f>SUM(F67:F68)</f>
        <v>238085.84</v>
      </c>
      <c r="H69" s="1"/>
    </row>
    <row r="70" spans="2:20" ht="15" thickBot="1" x14ac:dyDescent="0.4">
      <c r="H70" s="1"/>
      <c r="T70" s="1"/>
    </row>
    <row r="71" spans="2:20" ht="18.5" x14ac:dyDescent="0.45">
      <c r="B71" s="86" t="s">
        <v>88</v>
      </c>
      <c r="C71" s="87"/>
      <c r="D71" s="87"/>
      <c r="E71" s="87"/>
      <c r="F71" s="87"/>
      <c r="G71" s="87"/>
      <c r="H71" s="88"/>
      <c r="J71" s="146" t="s">
        <v>95</v>
      </c>
    </row>
    <row r="72" spans="2:20" x14ac:dyDescent="0.35">
      <c r="B72" s="89"/>
      <c r="D72" s="24" t="s">
        <v>36</v>
      </c>
      <c r="E72" s="24" t="s">
        <v>37</v>
      </c>
      <c r="F72" s="24" t="s">
        <v>38</v>
      </c>
      <c r="G72" s="24" t="s">
        <v>39</v>
      </c>
      <c r="H72" s="90" t="s">
        <v>51</v>
      </c>
      <c r="J72" s="148"/>
      <c r="K72" s="148"/>
      <c r="L72" s="149" t="s">
        <v>36</v>
      </c>
      <c r="M72" s="149" t="s">
        <v>37</v>
      </c>
      <c r="N72" s="149" t="s">
        <v>38</v>
      </c>
      <c r="O72" s="149" t="s">
        <v>39</v>
      </c>
    </row>
    <row r="73" spans="2:20" x14ac:dyDescent="0.35">
      <c r="B73" s="89"/>
      <c r="C73" t="s">
        <v>53</v>
      </c>
      <c r="D73" s="30">
        <v>232</v>
      </c>
      <c r="E73" s="30">
        <v>153</v>
      </c>
      <c r="F73" s="30">
        <v>159</v>
      </c>
      <c r="G73" s="30">
        <v>106</v>
      </c>
      <c r="H73" s="91">
        <f t="shared" ref="H73:H79" si="21">SUM(D73:G73)</f>
        <v>650</v>
      </c>
      <c r="L73" s="5">
        <f>+L64</f>
        <v>77133.070769230777</v>
      </c>
      <c r="M73" s="5">
        <f t="shared" ref="M73:O73" si="22">+M64</f>
        <v>52563.706153846149</v>
      </c>
      <c r="N73" s="5">
        <f t="shared" si="22"/>
        <v>54429.733846153853</v>
      </c>
      <c r="O73" s="5">
        <f t="shared" si="22"/>
        <v>37946.489230769235</v>
      </c>
    </row>
    <row r="74" spans="2:20" x14ac:dyDescent="0.35">
      <c r="B74" s="89"/>
      <c r="C74" t="s">
        <v>61</v>
      </c>
      <c r="D74" s="32">
        <f>+D73/$H73</f>
        <v>0.3569230769230769</v>
      </c>
      <c r="E74" s="32">
        <f t="shared" ref="E74" si="23">+E73/$H73</f>
        <v>0.23538461538461539</v>
      </c>
      <c r="F74" s="32">
        <f t="shared" ref="F74" si="24">+F73/$H73</f>
        <v>0.24461538461538462</v>
      </c>
      <c r="G74" s="32">
        <f t="shared" ref="G74" si="25">+G73/$H73</f>
        <v>0.16307692307692306</v>
      </c>
      <c r="H74" s="92">
        <f t="shared" si="21"/>
        <v>1</v>
      </c>
      <c r="J74" t="s">
        <v>96</v>
      </c>
      <c r="L74" s="1">
        <f>5950.32*4</f>
        <v>23801.279999999999</v>
      </c>
      <c r="M74" s="1">
        <f>4086.73*4</f>
        <v>16346.92</v>
      </c>
      <c r="N74" s="1">
        <f>4228.26*4</f>
        <v>16913.04</v>
      </c>
      <c r="O74" s="1">
        <f>2978.01*4</f>
        <v>11912.04</v>
      </c>
    </row>
    <row r="75" spans="2:20" x14ac:dyDescent="0.35">
      <c r="B75" s="89" t="s">
        <v>69</v>
      </c>
      <c r="C75" s="14" t="s">
        <v>53</v>
      </c>
      <c r="D75" s="61">
        <f>+$F67*D74</f>
        <v>77459.531815384602</v>
      </c>
      <c r="E75" s="61">
        <f t="shared" ref="E75:G75" si="26">+$F67*E74</f>
        <v>51083.225723076925</v>
      </c>
      <c r="F75" s="61">
        <f t="shared" si="26"/>
        <v>53086.489476923074</v>
      </c>
      <c r="G75" s="61">
        <f t="shared" si="26"/>
        <v>35390.992984615383</v>
      </c>
      <c r="H75" s="93">
        <f t="shared" si="21"/>
        <v>217020.24</v>
      </c>
      <c r="J75" t="s">
        <v>98</v>
      </c>
      <c r="L75" s="2">
        <f>+L73-L74</f>
        <v>53331.790769230778</v>
      </c>
      <c r="M75" s="2">
        <f t="shared" ref="M75:O75" si="27">+M73-M74</f>
        <v>36216.786153846151</v>
      </c>
      <c r="N75" s="2">
        <f t="shared" si="27"/>
        <v>37516.693846153852</v>
      </c>
      <c r="O75" s="2">
        <f t="shared" si="27"/>
        <v>26034.449230769234</v>
      </c>
    </row>
    <row r="76" spans="2:20" ht="15" thickBot="1" x14ac:dyDescent="0.4">
      <c r="B76" s="89" t="s">
        <v>68</v>
      </c>
      <c r="C76" s="94">
        <v>0.25</v>
      </c>
      <c r="D76" s="61">
        <f>+$F68*0.25</f>
        <v>5266.4</v>
      </c>
      <c r="E76" s="61">
        <f t="shared" ref="E76:G76" si="28">+$F68*0.25</f>
        <v>5266.4</v>
      </c>
      <c r="F76" s="61">
        <f t="shared" si="28"/>
        <v>5266.4</v>
      </c>
      <c r="G76" s="61">
        <f t="shared" si="28"/>
        <v>5266.4</v>
      </c>
      <c r="H76" s="93">
        <f t="shared" si="21"/>
        <v>21065.599999999999</v>
      </c>
      <c r="J76" s="100" t="s">
        <v>97</v>
      </c>
      <c r="K76" s="100"/>
      <c r="L76" s="147">
        <f>+L75/8</f>
        <v>6666.4738461538473</v>
      </c>
      <c r="M76" s="147">
        <f t="shared" ref="M76:O76" si="29">+M75/8</f>
        <v>4527.0982692307689</v>
      </c>
      <c r="N76" s="147">
        <f t="shared" si="29"/>
        <v>4689.5867307692315</v>
      </c>
      <c r="O76" s="147">
        <f t="shared" si="29"/>
        <v>3254.3061538461543</v>
      </c>
    </row>
    <row r="77" spans="2:20" x14ac:dyDescent="0.35">
      <c r="B77" s="89" t="s">
        <v>70</v>
      </c>
      <c r="D77" s="61">
        <f>SUM(D75:D76)</f>
        <v>82725.931815384596</v>
      </c>
      <c r="E77" s="61">
        <f t="shared" ref="E77:G77" si="30">SUM(E75:E76)</f>
        <v>56349.625723076926</v>
      </c>
      <c r="F77" s="61">
        <f t="shared" si="30"/>
        <v>58352.889476923076</v>
      </c>
      <c r="G77" s="61">
        <f t="shared" si="30"/>
        <v>40657.392984615384</v>
      </c>
      <c r="H77" s="93">
        <f t="shared" si="21"/>
        <v>238085.83999999997</v>
      </c>
    </row>
    <row r="78" spans="2:20" x14ac:dyDescent="0.35">
      <c r="B78" s="89" t="s">
        <v>63</v>
      </c>
      <c r="D78" s="54">
        <f>+D77/$H77</f>
        <v>0.34746262866949418</v>
      </c>
      <c r="E78" s="54">
        <f t="shared" ref="E78:G78" si="31">+E77/$H77</f>
        <v>0.23667777018186775</v>
      </c>
      <c r="F78" s="54">
        <f t="shared" si="31"/>
        <v>0.24509181006700392</v>
      </c>
      <c r="G78" s="54">
        <f t="shared" si="31"/>
        <v>0.1707677910816342</v>
      </c>
      <c r="H78" s="95">
        <f t="shared" si="21"/>
        <v>1</v>
      </c>
    </row>
    <row r="79" spans="2:20" x14ac:dyDescent="0.35">
      <c r="B79" s="89" t="s">
        <v>64</v>
      </c>
      <c r="D79" s="61">
        <f>+D78*$F65</f>
        <v>-13359.743493269996</v>
      </c>
      <c r="E79" s="61">
        <f t="shared" ref="E79:G79" si="32">+E78*$F65</f>
        <v>-9100.127723941514</v>
      </c>
      <c r="F79" s="61">
        <f t="shared" si="32"/>
        <v>-9423.6428456626636</v>
      </c>
      <c r="G79" s="61">
        <f t="shared" si="32"/>
        <v>-6565.9259371258295</v>
      </c>
      <c r="H79" s="96">
        <f t="shared" si="21"/>
        <v>-38449.440000000002</v>
      </c>
    </row>
    <row r="80" spans="2:20" x14ac:dyDescent="0.35">
      <c r="B80" s="89" t="s">
        <v>67</v>
      </c>
      <c r="D80" s="5">
        <f>+F43+2500</f>
        <v>66436.36</v>
      </c>
      <c r="E80" s="5">
        <f>+F44+2500</f>
        <v>47740</v>
      </c>
      <c r="F80" s="5">
        <f>+F45+2500</f>
        <v>49011.039999999986</v>
      </c>
      <c r="G80" s="5">
        <f>+F46+2500</f>
        <v>36449</v>
      </c>
      <c r="H80" s="96">
        <f t="shared" ref="H80:H82" si="33">SUM(D80:G80)</f>
        <v>199636.4</v>
      </c>
    </row>
    <row r="81" spans="2:8" x14ac:dyDescent="0.35">
      <c r="B81" s="97" t="s">
        <v>65</v>
      </c>
      <c r="C81" s="34"/>
      <c r="D81" s="36">
        <f>+D77+D79</f>
        <v>69366.188322114598</v>
      </c>
      <c r="E81" s="36">
        <f t="shared" ref="E81:G81" si="34">+E77+E79</f>
        <v>47249.497999135412</v>
      </c>
      <c r="F81" s="36">
        <f t="shared" si="34"/>
        <v>48929.246631260408</v>
      </c>
      <c r="G81" s="36">
        <f t="shared" si="34"/>
        <v>34091.467047489554</v>
      </c>
      <c r="H81" s="98">
        <f t="shared" si="33"/>
        <v>199636.39999999997</v>
      </c>
    </row>
    <row r="82" spans="2:8" s="158" customFormat="1" ht="15" thickBot="1" x14ac:dyDescent="0.4">
      <c r="B82" s="159" t="s">
        <v>71</v>
      </c>
      <c r="C82" s="160"/>
      <c r="D82" s="160">
        <f>+D81-D80</f>
        <v>2929.8283221145975</v>
      </c>
      <c r="E82" s="160">
        <f t="shared" ref="E82:G82" si="35">+E81-E80</f>
        <v>-490.5020008645879</v>
      </c>
      <c r="F82" s="160">
        <f t="shared" si="35"/>
        <v>-81.793368739578</v>
      </c>
      <c r="G82" s="160">
        <f t="shared" si="35"/>
        <v>-2357.5329525104462</v>
      </c>
      <c r="H82" s="161">
        <f t="shared" si="33"/>
        <v>-1.4551915228366852E-11</v>
      </c>
    </row>
    <row r="83" spans="2:8" ht="15" thickBot="1" x14ac:dyDescent="0.4">
      <c r="B83" s="34"/>
      <c r="C83" s="34"/>
      <c r="D83" s="129"/>
      <c r="E83" s="129"/>
      <c r="F83" s="129"/>
      <c r="G83" s="129"/>
      <c r="H83" s="36"/>
    </row>
    <row r="84" spans="2:8" x14ac:dyDescent="0.35">
      <c r="B84" s="136" t="s">
        <v>85</v>
      </c>
      <c r="C84" s="137"/>
      <c r="D84" s="138"/>
      <c r="E84" s="138"/>
      <c r="F84" s="138"/>
      <c r="G84" s="138"/>
      <c r="H84" s="139"/>
    </row>
    <row r="85" spans="2:8" x14ac:dyDescent="0.35">
      <c r="B85" s="140" t="s">
        <v>86</v>
      </c>
      <c r="C85" s="141"/>
      <c r="D85" s="142"/>
      <c r="E85" s="142"/>
      <c r="F85" s="142"/>
      <c r="G85" s="142"/>
      <c r="H85" s="143"/>
    </row>
    <row r="86" spans="2:8" x14ac:dyDescent="0.35">
      <c r="B86" s="140" t="s">
        <v>84</v>
      </c>
      <c r="C86" s="141"/>
      <c r="D86" s="142"/>
      <c r="E86" s="142"/>
      <c r="F86" s="142"/>
      <c r="G86" s="142"/>
      <c r="H86" s="143"/>
    </row>
    <row r="87" spans="2:8" x14ac:dyDescent="0.35">
      <c r="B87" s="134"/>
      <c r="C87" s="135"/>
      <c r="D87" s="24" t="s">
        <v>36</v>
      </c>
      <c r="E87" s="24" t="s">
        <v>37</v>
      </c>
      <c r="F87" s="24" t="s">
        <v>38</v>
      </c>
      <c r="G87" s="24" t="s">
        <v>39</v>
      </c>
      <c r="H87" s="90" t="s">
        <v>51</v>
      </c>
    </row>
    <row r="88" spans="2:8" ht="15" thickBot="1" x14ac:dyDescent="0.4">
      <c r="B88" s="133" t="s">
        <v>87</v>
      </c>
      <c r="C88" s="130"/>
      <c r="D88" s="131">
        <v>9919.9531307692378</v>
      </c>
      <c r="E88" s="131">
        <v>3900.5169461538462</v>
      </c>
      <c r="F88" s="131">
        <v>3514.570453846165</v>
      </c>
      <c r="G88" s="131">
        <v>4099.5894692307702</v>
      </c>
      <c r="H88" s="132">
        <v>21434.630000000019</v>
      </c>
    </row>
    <row r="89" spans="2:8" ht="15" thickBot="1" x14ac:dyDescent="0.4"/>
    <row r="90" spans="2:8" ht="18.5" x14ac:dyDescent="0.45">
      <c r="B90" s="86" t="s">
        <v>102</v>
      </c>
      <c r="C90" s="87"/>
      <c r="D90" s="87"/>
      <c r="E90" s="87"/>
      <c r="F90" s="118"/>
    </row>
    <row r="91" spans="2:8" x14ac:dyDescent="0.35">
      <c r="B91" s="24"/>
      <c r="C91" s="24" t="s">
        <v>36</v>
      </c>
      <c r="D91" s="24" t="s">
        <v>37</v>
      </c>
      <c r="E91" s="24" t="s">
        <v>38</v>
      </c>
      <c r="F91" s="119" t="s">
        <v>39</v>
      </c>
    </row>
    <row r="92" spans="2:8" x14ac:dyDescent="0.35">
      <c r="B92" s="89" t="s">
        <v>76</v>
      </c>
      <c r="C92" s="2">
        <f>+L65-O8</f>
        <v>1151.7558974358981</v>
      </c>
      <c r="D92" s="2">
        <f>+M65-O9</f>
        <v>610.30884615384548</v>
      </c>
      <c r="E92" s="2">
        <f>+N65-O10</f>
        <v>659.89115384615434</v>
      </c>
      <c r="F92" s="120">
        <f>+O65-O11</f>
        <v>562.20743589743643</v>
      </c>
    </row>
    <row r="93" spans="2:8" s="158" customFormat="1" x14ac:dyDescent="0.35">
      <c r="B93" s="162" t="s">
        <v>73</v>
      </c>
      <c r="C93" s="158">
        <f>+D82</f>
        <v>2929.8283221145975</v>
      </c>
      <c r="D93" s="158">
        <f>+E82</f>
        <v>-490.5020008645879</v>
      </c>
      <c r="E93" s="158">
        <f>+F82</f>
        <v>-81.793368739578</v>
      </c>
      <c r="F93" s="163">
        <f>+G82</f>
        <v>-2357.5329525104462</v>
      </c>
    </row>
    <row r="94" spans="2:8" x14ac:dyDescent="0.35">
      <c r="B94" s="89" t="s">
        <v>82</v>
      </c>
      <c r="C94" s="5">
        <f>+L65</f>
        <v>6427.7558974358981</v>
      </c>
      <c r="D94" s="5">
        <f>+M65</f>
        <v>4380.3088461538455</v>
      </c>
      <c r="E94" s="5">
        <f>+N65</f>
        <v>4535.8111538461544</v>
      </c>
      <c r="F94" s="121">
        <f>+O65</f>
        <v>3162.2074358974364</v>
      </c>
    </row>
    <row r="95" spans="2:8" ht="15" thickBot="1" x14ac:dyDescent="0.4">
      <c r="B95" s="122" t="s">
        <v>60</v>
      </c>
      <c r="C95" s="124">
        <f>SUM(C92:C94)</f>
        <v>10509.340116986394</v>
      </c>
      <c r="D95" s="124">
        <f>SUM(D92:D94)</f>
        <v>4500.1156914431031</v>
      </c>
      <c r="E95" s="124">
        <f>SUM(E92:E94)</f>
        <v>5113.9089389527308</v>
      </c>
      <c r="F95" s="125">
        <f>SUM(F92:F94)</f>
        <v>1366.8819192844267</v>
      </c>
    </row>
    <row r="97" spans="2:7" x14ac:dyDescent="0.35">
      <c r="B97" s="24"/>
      <c r="C97" s="24" t="s">
        <v>36</v>
      </c>
      <c r="D97" s="24" t="s">
        <v>37</v>
      </c>
      <c r="E97" s="24" t="s">
        <v>38</v>
      </c>
      <c r="F97" s="24" t="s">
        <v>39</v>
      </c>
      <c r="G97" s="24" t="s">
        <v>51</v>
      </c>
    </row>
    <row r="98" spans="2:7" x14ac:dyDescent="0.35">
      <c r="B98" t="s">
        <v>90</v>
      </c>
      <c r="C98" s="144">
        <v>1974.4447439433279</v>
      </c>
      <c r="D98" s="144">
        <v>-1141.0534542080859</v>
      </c>
      <c r="E98" s="144">
        <v>-755.47232523455023</v>
      </c>
      <c r="F98" s="144">
        <v>-77.918964500713628</v>
      </c>
      <c r="G98" s="2">
        <f>SUM(C98:F98)</f>
        <v>-2.1827872842550278E-11</v>
      </c>
    </row>
    <row r="99" spans="2:7" x14ac:dyDescent="0.35">
      <c r="B99" t="s">
        <v>99</v>
      </c>
      <c r="C99" s="144">
        <f>+D82</f>
        <v>2929.8283221145975</v>
      </c>
      <c r="D99" s="144">
        <f t="shared" ref="D99:F99" si="36">+E82</f>
        <v>-490.5020008645879</v>
      </c>
      <c r="E99" s="144">
        <f t="shared" si="36"/>
        <v>-81.793368739578</v>
      </c>
      <c r="F99" s="144">
        <f t="shared" si="36"/>
        <v>-2357.5329525104462</v>
      </c>
      <c r="G99" s="2">
        <f t="shared" ref="G99:G100" si="37">SUM(C99:F99)</f>
        <v>-1.4551915228366852E-11</v>
      </c>
    </row>
    <row r="100" spans="2:7" s="158" customFormat="1" x14ac:dyDescent="0.35">
      <c r="B100" s="167" t="s">
        <v>91</v>
      </c>
      <c r="C100" s="168">
        <f>+C99-C98</f>
        <v>955.38357817126962</v>
      </c>
      <c r="D100" s="168">
        <f t="shared" ref="D100:F100" si="38">+D99-D98</f>
        <v>650.551453343498</v>
      </c>
      <c r="E100" s="168">
        <f t="shared" si="38"/>
        <v>673.67895649497223</v>
      </c>
      <c r="F100" s="168">
        <f t="shared" si="38"/>
        <v>-2279.6139880097326</v>
      </c>
      <c r="G100" s="168">
        <f t="shared" si="37"/>
        <v>7.2759576141834259E-12</v>
      </c>
    </row>
    <row r="101" spans="2:7" s="34" customFormat="1" ht="15" thickBot="1" x14ac:dyDescent="0.4">
      <c r="B101" s="100" t="s">
        <v>105</v>
      </c>
      <c r="C101" s="147">
        <f>+D88-C100</f>
        <v>8964.5695525979681</v>
      </c>
      <c r="D101" s="147">
        <f t="shared" ref="D101:G101" si="39">+E88-D100</f>
        <v>3249.9654928103482</v>
      </c>
      <c r="E101" s="147">
        <f t="shared" si="39"/>
        <v>2840.8914973511928</v>
      </c>
      <c r="F101" s="147">
        <f t="shared" si="39"/>
        <v>6379.2034572405028</v>
      </c>
      <c r="G101" s="147">
        <f t="shared" si="39"/>
        <v>21434.630000000012</v>
      </c>
    </row>
    <row r="102" spans="2:7" ht="15" thickBot="1" x14ac:dyDescent="0.4"/>
    <row r="103" spans="2:7" x14ac:dyDescent="0.35">
      <c r="B103" s="164" t="s">
        <v>92</v>
      </c>
      <c r="C103" s="165">
        <f>+D6</f>
        <v>76054.45</v>
      </c>
    </row>
    <row r="104" spans="2:7" x14ac:dyDescent="0.35">
      <c r="B104" s="89" t="s">
        <v>93</v>
      </c>
      <c r="C104" s="121">
        <f>+D64</f>
        <v>238085.84</v>
      </c>
    </row>
    <row r="105" spans="2:7" x14ac:dyDescent="0.35">
      <c r="B105" s="89" t="s">
        <v>94</v>
      </c>
      <c r="C105" s="121">
        <f>+P14</f>
        <v>199636.4</v>
      </c>
    </row>
    <row r="106" spans="2:7" ht="15" thickBot="1" x14ac:dyDescent="0.4">
      <c r="B106" s="99" t="s">
        <v>101</v>
      </c>
      <c r="C106" s="166">
        <f>+C103-C104+C105</f>
        <v>37605.00999999998</v>
      </c>
    </row>
  </sheetData>
  <mergeCells count="2">
    <mergeCell ref="J65:K65"/>
    <mergeCell ref="J66:K66"/>
  </mergeCells>
  <pageMargins left="0.7" right="0.7" top="0.75" bottom="0.75" header="0.3" footer="0.3"/>
  <pageSetup paperSize="9" scale="31" orientation="landscape" r:id="rId1"/>
  <ignoredErrors>
    <ignoredError sqref="P16:P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Resultat 24 og budsjett 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Elin Kristin Skjølsvold</dc:creator>
  <cp:keywords/>
  <dc:description/>
  <cp:lastModifiedBy>Elin Kristin Skjølsvold</cp:lastModifiedBy>
  <cp:revision/>
  <cp:lastPrinted>2025-04-02T06:08:53Z</cp:lastPrinted>
  <dcterms:created xsi:type="dcterms:W3CDTF">2023-01-02T07:12:16Z</dcterms:created>
  <dcterms:modified xsi:type="dcterms:W3CDTF">2026-01-08T20:26:54Z</dcterms:modified>
  <cp:category/>
  <cp:contentStatus/>
</cp:coreProperties>
</file>